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tsn.tno.nl\data\sv\sv-063791\Kluis\Geeke\WarmingUP\"/>
    </mc:Choice>
  </mc:AlternateContent>
  <xr:revisionPtr revIDLastSave="0" documentId="8_{3BE1F7BB-E4F4-47D0-BEAA-4BB9345F9B3C}" xr6:coauthVersionLast="47" xr6:coauthVersionMax="47" xr10:uidLastSave="{00000000-0000-0000-0000-000000000000}"/>
  <bookViews>
    <workbookView xWindow="-120" yWindow="-120" windowWidth="29040" windowHeight="15840" activeTab="5" xr2:uid="{4FDC1106-9CEF-4FD8-BA9F-6E1B6E57A60F}"/>
  </bookViews>
  <sheets>
    <sheet name="1.0 Gebruiksaanwijzing" sheetId="37" r:id="rId1"/>
    <sheet name="1.1 Overzicht" sheetId="1" r:id="rId2"/>
    <sheet name="1.2 Varianten" sheetId="31" r:id="rId3"/>
    <sheet name="1.3 Energievraag - JBDK" sheetId="30" r:id="rId4"/>
    <sheet name="1.4 Kenmerken" sheetId="18" r:id="rId5"/>
    <sheet name="1.5 Kostenberekening" sheetId="33" r:id="rId6"/>
  </sheets>
  <externalReferences>
    <externalReference r:id="rId7"/>
    <externalReference r:id="rId8"/>
    <externalReference r:id="rId9"/>
  </externalReferences>
  <definedNames>
    <definedName name="a" hidden="1">[1]principeschema!#REF!</definedName>
    <definedName name="AQUS" hidden="1">[1]principeschema!#REF!</definedName>
    <definedName name="bla" hidden="1">[1]principeschema!#REF!</definedName>
    <definedName name="BRANDSH">[2]LEIDINGBEREKENING!#REF!</definedName>
    <definedName name="Bron1" hidden="1">[3]Data!$G$32</definedName>
    <definedName name="BronTSAMmax" hidden="1">[3]Data!$G$50</definedName>
    <definedName name="BronTSAMp" hidden="1">[3]Data!$G$55</definedName>
    <definedName name="BronTSAMs" hidden="1">[3]Data!$G$58</definedName>
    <definedName name="BronTSAP" hidden="1">[3]Data!$G$59</definedName>
    <definedName name="BronTSATpk" hidden="1">[3]Data!$G$53</definedName>
    <definedName name="BronTSATsk" hidden="1">[3]Data!$G$56</definedName>
    <definedName name="BronTSATsw" hidden="1">[3]Data!$G$57</definedName>
    <definedName name="CKM" hidden="1">[1]principeschema!#REF!</definedName>
    <definedName name="CKMbes" hidden="1">[3]Data!$G$182</definedName>
    <definedName name="CKMEER" hidden="1">[3]Data!$G$184</definedName>
    <definedName name="CKMk" hidden="1">[3]Data!$G$190</definedName>
    <definedName name="CKMLbes" hidden="1">[3]Data!$G$202</definedName>
    <definedName name="CKMLEER" hidden="1">[3]Data!$G$204</definedName>
    <definedName name="CKMLk" hidden="1">[3]Data!$G$210</definedName>
    <definedName name="CKMLMC" hidden="1">[3]Data!$G$220</definedName>
    <definedName name="CKMLMCmax" hidden="1">[3]Data!$G$208</definedName>
    <definedName name="CKMLMV" hidden="1">[3]Data!$G$216</definedName>
    <definedName name="CKMLMVmax" hidden="1">[3]Data!$G$207</definedName>
    <definedName name="CKMLSdv" hidden="1">[3]Data!$G$217</definedName>
    <definedName name="CKMLTcin" hidden="1">[3]Data!$G$218</definedName>
    <definedName name="CKMLTcuit" hidden="1">[3]Data!$G$219</definedName>
    <definedName name="CKMLTvin" hidden="1">[3]Data!$G$214</definedName>
    <definedName name="CKMLTvuit" hidden="1">[3]Data!$G$215</definedName>
    <definedName name="CKMlucht" hidden="1">[1]principeschema!#REF!</definedName>
    <definedName name="CKMLw" hidden="1">[3]Data!$G$211</definedName>
    <definedName name="CKMMC" hidden="1">[3]Data!$G$200</definedName>
    <definedName name="CKMMCmax" hidden="1">[3]Data!$G$188</definedName>
    <definedName name="CKMMV" hidden="1">[3]Data!$G$196</definedName>
    <definedName name="CKMMVmax" hidden="1">[3]Data!$G$187</definedName>
    <definedName name="CKMSdv" hidden="1">[3]Data!$G$197</definedName>
    <definedName name="CKMTcin" hidden="1">[3]Data!$G$198</definedName>
    <definedName name="CKMTcuit" hidden="1">[3]Data!$G$199</definedName>
    <definedName name="CKMTvin" hidden="1">[3]Data!$G$194</definedName>
    <definedName name="CKMTvuit" hidden="1">[3]Data!$G$195</definedName>
    <definedName name="CKMw" hidden="1">[3]Data!$G$191</definedName>
    <definedName name="Componenten" hidden="1">[3]principeschema!$DC$18,[3]principeschema!$DL$18,[3]principeschema!$EQ$58,[3]principeschema!$EN$62,[3]principeschema!$CX$58,[3]principeschema!$CP$58,[3]principeschema!$BZ$58,[3]principeschema!$BZ$38,[3]principeschema!$BG$38,[3]principeschema!$BG$58,[3]principeschema!$AN$58,[3]principeschema!$AN$38,[3]principeschema!$Z$38,[3]principeschema!$P$58,[3]principeschema!$P$38</definedName>
    <definedName name="ConM" hidden="1">[3]Data!$G$271</definedName>
    <definedName name="ConTuit" hidden="1">[3]Data!$G$270</definedName>
    <definedName name="COP" hidden="1">[3]Data!$G$145</definedName>
    <definedName name="DataNK" hidden="1">[3]Data!$A$103:$IV$120,[3]Data!$A$7:$IV$7</definedName>
    <definedName name="DataOW" hidden="1">[3]Data!$A$137:$IV$142,[3]Data!$A$9:$IV$9</definedName>
    <definedName name="DKP" hidden="1">[3]Data!$G$101</definedName>
    <definedName name="KBM" hidden="1">[3]Data!$G$249</definedName>
    <definedName name="KBP" hidden="1">[3]Data!$G$252</definedName>
    <definedName name="KBTk" hidden="1">[3]Data!$G$250</definedName>
    <definedName name="KBTw" hidden="1">[3]Data!$G$251</definedName>
    <definedName name="Kbuffer" hidden="1">[3]Data!$G$253</definedName>
    <definedName name="KetM" hidden="1">[3]Data!$G$275</definedName>
    <definedName name="KetTuit" hidden="1">[3]Data!$G$274</definedName>
    <definedName name="KKM" hidden="1">[3]Data!$G$235</definedName>
    <definedName name="KKMp" hidden="1">[3]Data!$G$231</definedName>
    <definedName name="KKP" hidden="1">[3]Data!$G$236</definedName>
    <definedName name="KKTin" hidden="1">[3]Data!$G$233</definedName>
    <definedName name="KKTuit" hidden="1">[3]Data!$G$234</definedName>
    <definedName name="KLeppen" hidden="1">"Klep 3,Klep 2,Klep1"</definedName>
    <definedName name="KM" hidden="1">[3]Data!$G$227</definedName>
    <definedName name="KMp" hidden="1">[3]Data!$G$223</definedName>
    <definedName name="KP" hidden="1">[3]Data!$G$228</definedName>
    <definedName name="KTin" hidden="1">[3]Data!$G$225</definedName>
    <definedName name="KTuit" hidden="1">[3]Data!$G$226</definedName>
    <definedName name="Kvraag" hidden="1">[3]Data!$G$29</definedName>
    <definedName name="Mbron1k" hidden="1">[3]Data!$G$43</definedName>
    <definedName name="Mbron1w" hidden="1">[3]Data!$G$44</definedName>
    <definedName name="MC" hidden="1">[3]Data!$G$162</definedName>
    <definedName name="MCmax" hidden="1">[3]Data!$G$149</definedName>
    <definedName name="MengMGebTSA1" hidden="1">[3]Data!$G$258</definedName>
    <definedName name="MengMKBTSA1" hidden="1">[3]Data!$G$260</definedName>
    <definedName name="MengMKet" hidden="1">[3]Data!$G$276</definedName>
    <definedName name="MengMnaserie" hidden="1">[3]Data!$G$262</definedName>
    <definedName name="MengMVerReg" hidden="1">[3]Data!$G$267</definedName>
    <definedName name="MengMVerRegBuf" hidden="1">[3]Data!$G$269</definedName>
    <definedName name="MengMWBC" hidden="1">[3]Data!$G$273</definedName>
    <definedName name="MengTGebTSA1" hidden="1">[3]Data!$G$257</definedName>
    <definedName name="MengTKBTSA1" hidden="1">[3]Data!$G$259</definedName>
    <definedName name="MengTket" hidden="1">[3]Data!$G$277</definedName>
    <definedName name="MengTnaserie" hidden="1">[3]Data!$G$261</definedName>
    <definedName name="MengTVerReg" hidden="1">[3]Data!$G$266</definedName>
    <definedName name="MengTVerRegBuf" hidden="1">[3]Data!$G$268</definedName>
    <definedName name="MengTWBC" hidden="1">[3]Data!$G$272</definedName>
    <definedName name="Mgk" hidden="1">[3]Data!$G$28</definedName>
    <definedName name="Mgkl" hidden="1">[3]Data!#REF!</definedName>
    <definedName name="Mgkmax" hidden="1">[3]Data!$G$26</definedName>
    <definedName name="Mgw" hidden="1">[3]Data!$G$20</definedName>
    <definedName name="Mreg" hidden="1">[3]Regeneratie2!$C$16</definedName>
    <definedName name="MV" hidden="1">[3]Data!$G$158</definedName>
    <definedName name="MVmax" hidden="1">[3]Data!$G$148</definedName>
    <definedName name="Pbron1" hidden="1">[3]Data!$G$45</definedName>
    <definedName name="Pkeus" hidden="1">[3]Data!$G$12</definedName>
    <definedName name="Recirculatie" hidden="1">[1]principeschema!#REF!</definedName>
    <definedName name="Regaan" hidden="1">[3]Regeneratie2!$C$8</definedName>
    <definedName name="Regeneratiemodule" hidden="1">[3]Data!$G$92</definedName>
    <definedName name="RegFunc" hidden="1">[3]Data!$G$92</definedName>
    <definedName name="Regmethode" hidden="1">[3]Regeneratie2!$C$9</definedName>
    <definedName name="RelV" hidden="1">[3]Data!$G$7</definedName>
    <definedName name="RESERVE">#N/A</definedName>
    <definedName name="RTSAfunc" hidden="1">[3]Data!$G$78</definedName>
    <definedName name="RTSAMs" hidden="1">[3]Data!$G$86</definedName>
    <definedName name="RTSAP" hidden="1">[3]Data!$G$90</definedName>
    <definedName name="RTSATsu" hidden="1">[3]Data!$G$85</definedName>
    <definedName name="sACg" hidden="1">[3]Data!$G$131</definedName>
    <definedName name="sACM" hidden="1">[3]Data!$G$130</definedName>
    <definedName name="sACO" hidden="1">[3]Data!$G$129</definedName>
    <definedName name="Sdc" hidden="1">[3]Data!$G$163</definedName>
    <definedName name="sDKb" hidden="1">[3]Data!$G$93</definedName>
    <definedName name="sDKg" hidden="1">[3]Data!$G$97</definedName>
    <definedName name="sDKP" hidden="1">[3]Data!$G$96</definedName>
    <definedName name="sDKTi" hidden="1">[3]Data!$G$94</definedName>
    <definedName name="sDKTu" hidden="1">[3]Data!$G$95</definedName>
    <definedName name="Sdv" hidden="1">[3]Data!$G$159</definedName>
    <definedName name="sEDg" hidden="1">[3]Data!$G$123</definedName>
    <definedName name="sEDM" hidden="1">[3]Data!$G$122</definedName>
    <definedName name="sEDO" hidden="1">[3]Data!$G$121</definedName>
    <definedName name="Sensors" hidden="1">"Groep 579,Group 125,Group 125,Group 125,Group 125,Group 125,Group 125,Group 125,Groep 595,Groep 692,Group 125,Group 125,Groep 695,Group 125,Group 125,Group 125,Group 125,Groep 686,Rectangle 101,Group 125,Group 125,Group 125,Groep 706,Group 125,Group 125"</definedName>
    <definedName name="SerieMp" hidden="1">[3]Data!$G$61</definedName>
    <definedName name="SerieMs" hidden="1">[3]Data!$G$60</definedName>
    <definedName name="SerieR" hidden="1">[3]Data!$G$62</definedName>
    <definedName name="SITUATIE">[2]LEIDINGBEREKENING!#REF!</definedName>
    <definedName name="sNKb" hidden="1">[3]Data!$G$103</definedName>
    <definedName name="sNKP" hidden="1">[3]Data!$G$106</definedName>
    <definedName name="sNKTi" hidden="1">[3]Data!$G$104</definedName>
    <definedName name="sNKTu" hidden="1">[3]Data!$G$105</definedName>
    <definedName name="sOWM" hidden="1">[3]Data!$G$137</definedName>
    <definedName name="sRTSATpi" hidden="1">[3]Data!$G$82</definedName>
    <definedName name="sRTSATpu" hidden="1">[3]Data!$G$83</definedName>
    <definedName name="sRTSATsi" hidden="1">[3]Data!$G$79</definedName>
    <definedName name="sRTSATsu" hidden="1">[3]Data!$G$80</definedName>
    <definedName name="STOPLICHT" hidden="1">"Ovaal 1,Ovaal 2,Ovaal 3"</definedName>
    <definedName name="sZCM" hidden="1">[3]Data!$G$114</definedName>
    <definedName name="sZCO" hidden="1">[3]Data!$G$113</definedName>
    <definedName name="Tbuitenhulp" hidden="1">[3]Data!$G$6</definedName>
    <definedName name="Tcin" hidden="1">[3]Data!$G$160</definedName>
    <definedName name="Tcuit" hidden="1">[3]Data!$G$161</definedName>
    <definedName name="Tdkin" hidden="1">[3]Regeneratie2!$C$37</definedName>
    <definedName name="Tdkuit" hidden="1">[3]Regeneratie2!$C$40</definedName>
    <definedName name="Tgkbron1" hidden="1">[3]Data!$G$35</definedName>
    <definedName name="Tgkoud" hidden="1">[3]Data!$G$23</definedName>
    <definedName name="Tgwarm" hidden="1">[3]Data!$G$15</definedName>
    <definedName name="Tkbron1" hidden="1">[3]Data!$G$33</definedName>
    <definedName name="Tklever" hidden="1">[3]Data!$G$24</definedName>
    <definedName name="Tkretour" hidden="1">[3]Data!$G$25</definedName>
    <definedName name="Toppervlakte" hidden="1">[3]Data!$G$9</definedName>
    <definedName name="Tregin" hidden="1">[3]Regeneratie2!$C$7</definedName>
    <definedName name="Treguit" hidden="1">[3]Regeneratie2!$C$19</definedName>
    <definedName name="TSA1mp" hidden="1">[3]TSA!$C$29</definedName>
    <definedName name="TSA2mp" hidden="1">[3]TSA!$K$29</definedName>
    <definedName name="TSA2ms" hidden="1">[3]TSA!$K$25</definedName>
    <definedName name="TSA2P" hidden="1">[3]TSA!$K$26</definedName>
    <definedName name="TSA2tpi" hidden="1">[3]TSA!$K$27</definedName>
    <definedName name="TSA2tpu" hidden="1">[3]TSA!$K$28</definedName>
    <definedName name="TSA2tsi" hidden="1">[3]TSA!$K$23</definedName>
    <definedName name="TSA2tsu" hidden="1">[3]TSA!$K$24</definedName>
    <definedName name="TSA3mp" hidden="1">[3]TSA!$S$29</definedName>
    <definedName name="TSA3ms" hidden="1">[3]TSA!$S$25</definedName>
    <definedName name="TSA3P" hidden="1">[3]TSA!$S$26</definedName>
    <definedName name="TSA3tpi" hidden="1">[3]TSA!$S$27</definedName>
    <definedName name="TSA3tpu" hidden="1">[3]TSA!$S$28</definedName>
    <definedName name="TSA3tsi" hidden="1">[3]TSA!$S$23</definedName>
    <definedName name="TSA3tsu" hidden="1">[3]TSA!$S$24</definedName>
    <definedName name="Tvin" hidden="1">[3]Data!$G$156</definedName>
    <definedName name="Tvuit" hidden="1">[3]Data!$G$157</definedName>
    <definedName name="Twbron1" hidden="1">[3]Data!$G$34</definedName>
    <definedName name="Twlever" hidden="1">[3]Data!$G$16</definedName>
    <definedName name="Twretour" hidden="1">[3]Data!$G$17</definedName>
    <definedName name="VBWW" hidden="1">[1]principeschema!#REF!</definedName>
    <definedName name="VerM" hidden="1">[3]Data!$G$265</definedName>
    <definedName name="VerTin" hidden="1">[3]Data!$G$263</definedName>
    <definedName name="VerTuit" hidden="1">[3]Data!$G$264</definedName>
    <definedName name="warmtepompvoor" hidden="1">[1]principeschema!$AH$60:$AI$65,[1]principeschema!$W$60:$AC$85,[1]principeschema!$AH$80:$AI$85,[1]principeschema!$AD$80:$AG$80,[1]principeschema!$AB$85:$AH$85,[1]principeschema!$AC$65:$AH$65,[1]principeschema!$AB$60:$AH$60</definedName>
    <definedName name="Wbbes" hidden="1">[3]Data!$G$238</definedName>
    <definedName name="WBM" hidden="1">[3]Data!$G$240</definedName>
    <definedName name="WBP" hidden="1">[3]Data!$G$243</definedName>
    <definedName name="WBTk" hidden="1">[3]Data!$G$241</definedName>
    <definedName name="WBTw" hidden="1">[3]Data!$G$242</definedName>
    <definedName name="Wbuffer" hidden="1">[3]Data!$G$244</definedName>
    <definedName name="WP2Bes" hidden="1">[3]Data!$G$165</definedName>
    <definedName name="WP2COP" hidden="1">[3]Data!$G$167</definedName>
    <definedName name="WP2k" hidden="1">[3]Data!$G$170</definedName>
    <definedName name="WP2MC" hidden="1">[3]Data!$G$179</definedName>
    <definedName name="WP2MV" hidden="1">[3]Data!$G$175</definedName>
    <definedName name="WP2Sdc" hidden="1">[3]Data!$G$180</definedName>
    <definedName name="WP2Sdv" hidden="1">[3]Data!$G$176</definedName>
    <definedName name="WP2Tcin" hidden="1">[3]Data!$G$177</definedName>
    <definedName name="WP2Tcuit" hidden="1">[3]Data!$G$178</definedName>
    <definedName name="WP2Tvin" hidden="1">[3]Data!$G$173</definedName>
    <definedName name="WP2Tvuit" hidden="1">[3]Data!$G$174</definedName>
    <definedName name="WP2w" hidden="1">[3]Data!$G$169</definedName>
    <definedName name="WPb" hidden="1">[1]principeschema!#REF!</definedName>
    <definedName name="WPBes" hidden="1">[3]Data!$G$143</definedName>
    <definedName name="WPc" hidden="1">[1]principeschema!#REF!</definedName>
    <definedName name="WPk" hidden="1">[3]Data!$G$153</definedName>
    <definedName name="WPsens" hidden="1">"Group 125,Group 125,Group 125,Group 125,Group 125,Group 125,Group 125,Groep 698,Groep 695"</definedName>
    <definedName name="WPw" hidden="1">[3]Data!$G$152</definedName>
    <definedName name="Wvraag" hidden="1">[3]Data!$G$21</definedName>
    <definedName name="ZonI" hidden="1">[3]Data!$G$8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31" l="1"/>
  <c r="C10" i="31" l="1"/>
  <c r="C17" i="30"/>
  <c r="C22" i="31"/>
  <c r="C21" i="31"/>
  <c r="C20" i="31"/>
  <c r="C19" i="31"/>
  <c r="C18" i="31"/>
  <c r="C17" i="31"/>
  <c r="C15" i="31"/>
  <c r="C13" i="31"/>
  <c r="C12" i="31"/>
  <c r="C11" i="31"/>
  <c r="C9" i="31"/>
  <c r="C21" i="30" s="1"/>
  <c r="C23" i="31"/>
  <c r="C16" i="31" l="1"/>
  <c r="I41" i="1" l="1"/>
  <c r="I28" i="1" l="1"/>
  <c r="I32" i="1"/>
  <c r="C185" i="33" l="1"/>
  <c r="B93" i="33"/>
  <c r="C64" i="18" l="1"/>
  <c r="C132" i="18"/>
  <c r="C24" i="33" l="1"/>
  <c r="B24" i="33"/>
  <c r="B23" i="33"/>
  <c r="B22" i="33"/>
  <c r="B21" i="33"/>
  <c r="B20" i="33"/>
  <c r="B19" i="33"/>
  <c r="B18" i="33"/>
  <c r="B17" i="33"/>
  <c r="B16" i="33"/>
  <c r="B15" i="33"/>
  <c r="B14" i="33"/>
  <c r="B13" i="33"/>
  <c r="B12" i="33"/>
  <c r="B11" i="33"/>
  <c r="B10" i="33"/>
  <c r="B9" i="33"/>
  <c r="B8" i="33"/>
  <c r="C24" i="18"/>
  <c r="C44" i="18" s="1"/>
  <c r="C23" i="18"/>
  <c r="B24" i="18"/>
  <c r="B23" i="18"/>
  <c r="B22" i="18"/>
  <c r="B21" i="18"/>
  <c r="B20" i="18"/>
  <c r="B19" i="18"/>
  <c r="B18" i="18"/>
  <c r="B17" i="18"/>
  <c r="B16" i="18"/>
  <c r="B15" i="18"/>
  <c r="B14" i="18"/>
  <c r="B9" i="18"/>
  <c r="B10" i="18"/>
  <c r="B11" i="18"/>
  <c r="B12" i="18"/>
  <c r="B13" i="18"/>
  <c r="B8" i="18"/>
  <c r="I29" i="1" l="1"/>
  <c r="I27" i="1" l="1"/>
  <c r="I31" i="1" l="1"/>
  <c r="C9" i="33" l="1"/>
  <c r="C9" i="18"/>
  <c r="C43" i="18" s="1"/>
  <c r="I43" i="1" l="1"/>
  <c r="B26" i="30" l="1"/>
  <c r="B27" i="30" l="1"/>
  <c r="B12" i="30"/>
  <c r="C23" i="33"/>
  <c r="I26" i="1" l="1"/>
  <c r="I40" i="1" l="1"/>
  <c r="I42" i="1"/>
  <c r="I39" i="1"/>
  <c r="I38" i="1"/>
  <c r="I37" i="1"/>
  <c r="I36" i="1"/>
  <c r="I35" i="1"/>
  <c r="I34" i="1"/>
  <c r="I33" i="1"/>
  <c r="I30" i="1"/>
  <c r="C8" i="33" l="1"/>
  <c r="C8" i="30"/>
  <c r="C14" i="30" s="1"/>
  <c r="C15" i="30" s="1"/>
  <c r="C20" i="18"/>
  <c r="C25" i="30"/>
  <c r="C14" i="18"/>
  <c r="C21" i="18"/>
  <c r="C133" i="18" s="1"/>
  <c r="C125" i="18" l="1"/>
  <c r="C20" i="33"/>
  <c r="C13" i="18"/>
  <c r="C12" i="30"/>
  <c r="C11" i="30" s="1"/>
  <c r="C10" i="33"/>
  <c r="C10" i="18"/>
  <c r="C19" i="18"/>
  <c r="C113" i="18" s="1"/>
  <c r="C15" i="33"/>
  <c r="C15" i="18"/>
  <c r="C67" i="18" s="1"/>
  <c r="C18" i="33"/>
  <c r="C18" i="18"/>
  <c r="C17" i="33"/>
  <c r="C17" i="18"/>
  <c r="C12" i="33"/>
  <c r="C12" i="18"/>
  <c r="C129" i="18" s="1"/>
  <c r="C16" i="33"/>
  <c r="C16" i="18"/>
  <c r="C62" i="18" s="1"/>
  <c r="C22" i="33"/>
  <c r="C22" i="18"/>
  <c r="C11" i="18"/>
  <c r="C31" i="30"/>
  <c r="C28" i="18" s="1"/>
  <c r="C40" i="18" s="1"/>
  <c r="C24" i="30"/>
  <c r="C13" i="33"/>
  <c r="C19" i="33"/>
  <c r="C27" i="30"/>
  <c r="C18" i="30" s="1"/>
  <c r="C14" i="33"/>
  <c r="C11" i="33"/>
  <c r="C26" i="30"/>
  <c r="C21" i="33"/>
  <c r="C45" i="18" l="1"/>
  <c r="C69" i="33" s="1"/>
  <c r="C33" i="30"/>
  <c r="C30" i="18" s="1"/>
  <c r="C10" i="30"/>
  <c r="C9" i="30" s="1"/>
  <c r="C157" i="18"/>
  <c r="C158" i="18" s="1"/>
  <c r="C67" i="33"/>
  <c r="C93" i="18"/>
  <c r="C47" i="33" s="1"/>
  <c r="C76" i="18"/>
  <c r="C80" i="18"/>
  <c r="C53" i="18"/>
  <c r="C32" i="30"/>
  <c r="C29" i="18" s="1"/>
  <c r="B107" i="33"/>
  <c r="B79" i="33"/>
  <c r="C103" i="18" l="1"/>
  <c r="C112" i="33" s="1"/>
  <c r="C50" i="33"/>
  <c r="C94" i="18"/>
  <c r="C81" i="18"/>
  <c r="C32" i="33"/>
  <c r="C65" i="33"/>
  <c r="C66" i="33" s="1"/>
  <c r="C86" i="18" l="1"/>
  <c r="C29" i="33"/>
  <c r="C51" i="33" l="1"/>
  <c r="C48" i="33"/>
  <c r="C49" i="33" s="1"/>
  <c r="C114" i="33"/>
  <c r="C126" i="18"/>
  <c r="C8" i="18" l="1"/>
  <c r="C187" i="33" s="1"/>
  <c r="C48" i="18" l="1"/>
  <c r="C154" i="33" s="1"/>
  <c r="C63" i="18"/>
  <c r="C100" i="18"/>
  <c r="C181" i="33" s="1"/>
  <c r="C68" i="33" l="1"/>
  <c r="C70" i="33" s="1"/>
  <c r="C72" i="33" s="1"/>
  <c r="C111" i="33"/>
  <c r="C65" i="18"/>
  <c r="C66" i="18" s="1"/>
  <c r="C172" i="33"/>
  <c r="C113" i="33"/>
  <c r="C115" i="33" l="1"/>
  <c r="C73" i="33"/>
  <c r="C74" i="33" s="1"/>
  <c r="C68" i="18"/>
  <c r="C117" i="33" l="1"/>
  <c r="C184" i="33" s="1"/>
  <c r="C75" i="33"/>
  <c r="C118" i="33" l="1"/>
  <c r="C119" i="33" s="1"/>
  <c r="C120" i="33" s="1"/>
  <c r="C126" i="33" s="1"/>
  <c r="C76" i="33"/>
  <c r="C81" i="33" l="1"/>
  <c r="C135" i="33"/>
  <c r="C77" i="33"/>
  <c r="C158" i="33"/>
  <c r="C157" i="33"/>
  <c r="C122" i="33" l="1"/>
  <c r="C36" i="30" l="1"/>
  <c r="C38" i="30"/>
  <c r="C34" i="18" s="1"/>
  <c r="C39" i="30"/>
  <c r="C35" i="18" s="1"/>
  <c r="C32" i="18"/>
  <c r="C37" i="30"/>
  <c r="C40" i="30" l="1"/>
  <c r="C36" i="18" s="1"/>
  <c r="C101" i="18" s="1"/>
  <c r="C104" i="18" s="1"/>
  <c r="C182" i="33" s="1"/>
  <c r="C183" i="33" s="1"/>
  <c r="C19" i="30"/>
  <c r="C22" i="30" s="1"/>
  <c r="C33" i="18"/>
  <c r="C202" i="33" l="1"/>
  <c r="C203" i="33" s="1"/>
  <c r="C204" i="33" s="1"/>
  <c r="C75" i="18"/>
  <c r="C46" i="18"/>
  <c r="C57" i="18" s="1"/>
  <c r="C193" i="33"/>
  <c r="C195" i="33"/>
  <c r="C47" i="18"/>
  <c r="C52" i="18"/>
  <c r="C196" i="33" l="1"/>
  <c r="C163" i="33"/>
  <c r="C54" i="18"/>
  <c r="C55" i="18" s="1"/>
  <c r="C88" i="18"/>
  <c r="C90" i="18" s="1"/>
  <c r="C155" i="33"/>
  <c r="C156" i="33" s="1"/>
  <c r="C159" i="33" s="1"/>
  <c r="C160" i="33" s="1"/>
  <c r="C33" i="33"/>
  <c r="C30" i="33"/>
  <c r="C31" i="33" s="1"/>
  <c r="C77" i="18"/>
  <c r="C116" i="18" s="1"/>
  <c r="C70" i="18"/>
  <c r="C72" i="18" s="1"/>
  <c r="C173" i="33" s="1"/>
  <c r="C174" i="33" s="1"/>
  <c r="C59" i="18"/>
  <c r="C164" i="33" s="1"/>
  <c r="C83" i="18" l="1"/>
  <c r="C96" i="18"/>
  <c r="C52" i="33" s="1"/>
  <c r="C53" i="33" s="1"/>
  <c r="C119" i="18"/>
  <c r="C98" i="33" s="1"/>
  <c r="C84" i="33"/>
  <c r="C86" i="33" s="1"/>
  <c r="C199" i="33"/>
  <c r="C200" i="33" s="1"/>
  <c r="C201" i="33" s="1"/>
  <c r="C205" i="33" s="1"/>
  <c r="C211" i="33" s="1"/>
  <c r="C212" i="33" s="1"/>
  <c r="C147" i="33"/>
  <c r="C34" i="33"/>
  <c r="C35" i="33" s="1"/>
  <c r="C140" i="33"/>
  <c r="C165" i="33"/>
  <c r="C100" i="33" l="1"/>
  <c r="C101" i="33" s="1"/>
  <c r="C102" i="33" s="1"/>
  <c r="C103" i="33" s="1"/>
  <c r="C104" i="33" s="1"/>
  <c r="C36" i="33"/>
  <c r="C37" i="33" s="1"/>
  <c r="C87" i="33"/>
  <c r="C88" i="33" s="1"/>
  <c r="C89" i="33" s="1"/>
  <c r="C54" i="33"/>
  <c r="C55" i="33" s="1"/>
  <c r="C56" i="33" s="1"/>
  <c r="C57" i="33" s="1"/>
  <c r="C108" i="33" l="1"/>
  <c r="C176" i="33"/>
  <c r="C105" i="33"/>
  <c r="C175" i="33"/>
  <c r="C177" i="33" s="1"/>
  <c r="C178" i="33" s="1"/>
  <c r="C38" i="33"/>
  <c r="C39" i="33" s="1"/>
  <c r="C40" i="33" s="1"/>
  <c r="C58" i="33"/>
  <c r="C90" i="33"/>
  <c r="C129" i="33" l="1"/>
  <c r="C44" i="33"/>
  <c r="C134" i="33" s="1"/>
  <c r="C142" i="33"/>
  <c r="C41" i="33"/>
  <c r="C141" i="33"/>
  <c r="C143" i="33" s="1"/>
  <c r="C91" i="33"/>
  <c r="C167" i="33"/>
  <c r="C95" i="33"/>
  <c r="C166" i="33"/>
  <c r="C149" i="33"/>
  <c r="C59" i="33"/>
  <c r="C62" i="33"/>
  <c r="C148" i="33"/>
  <c r="C150" i="33" s="1"/>
  <c r="C151" i="33" s="1"/>
  <c r="C144" i="33" l="1"/>
  <c r="C168" i="33"/>
  <c r="C169" i="33" s="1"/>
  <c r="C131" i="33"/>
  <c r="C132" i="33" s="1"/>
  <c r="C130" i="33"/>
  <c r="C190" i="33" l="1"/>
  <c r="C208" i="33" l="1"/>
  <c r="C209" i="33" s="1"/>
  <c r="C218" i="33"/>
  <c r="C219" i="33" s="1"/>
</calcChain>
</file>

<file path=xl/sharedStrings.xml><?xml version="1.0" encoding="utf-8"?>
<sst xmlns="http://schemas.openxmlformats.org/spreadsheetml/2006/main" count="482" uniqueCount="269">
  <si>
    <t>Project :</t>
  </si>
  <si>
    <t>WarmingUp</t>
  </si>
  <si>
    <t>Onderwerp :</t>
  </si>
  <si>
    <t>Gedetailleerde kostenberekening</t>
  </si>
  <si>
    <t xml:space="preserve">Fase : </t>
  </si>
  <si>
    <t>1.0 Gebruiksaanwijzing Excel model</t>
  </si>
  <si>
    <t>1. Overzicht</t>
  </si>
  <si>
    <t>Link naar tabblad</t>
  </si>
  <si>
    <t>1.1 Overzicht</t>
  </si>
  <si>
    <t>2. Varianten</t>
  </si>
  <si>
    <t>1.2 Varianten</t>
  </si>
  <si>
    <t>3. Energievraag - JBDK</t>
  </si>
  <si>
    <t>In dit tabblad wordt de vermogens- en energieverdeling in meer detail weergegeven voor alle varianten. De totale energievraag is gebaseerd op een jaarbelastingduurkromme (JBDK). Vervolgens wordt een onderscheid gemaakt tussen basislast (WKO en/of TEO) en pieklast (E-ketels of gas). Deze verdelingen vormen de basis voor het verder uitwerken van de kostenberekeningen.</t>
  </si>
  <si>
    <t>1.3 Energievraag - JBDK</t>
  </si>
  <si>
    <t>4. Kenmerken</t>
  </si>
  <si>
    <t>1.4 Kenmerken</t>
  </si>
  <si>
    <t>5. Kostenberekening</t>
  </si>
  <si>
    <r>
      <t>Met behulp van de technische en financiële kengetallen wordt vervolgens een kostenberekening gemaakt voor alle varianten. De investeringskosten (CAPEX) en exploitatiekosten (OPEX) worden berekend voor ieder onderdeel van de aquathermie installatie. Deze worden daarna bij elkaar opgeteld, wat uiteindelijk resulteert in de prijs in euro per GJ, de eenvoudige terugverdientijd, de total cost of ownership (TCO) voor 30 jaar, en de CO</t>
    </r>
    <r>
      <rPr>
        <vertAlign val="subscript"/>
        <sz val="10"/>
        <color theme="1"/>
        <rFont val="MetaNormalLF-Roman"/>
        <family val="2"/>
      </rPr>
      <t>2</t>
    </r>
    <r>
      <rPr>
        <sz val="10"/>
        <color theme="1"/>
        <rFont val="MetaNormalLF-Roman"/>
        <family val="2"/>
      </rPr>
      <t xml:space="preserve"> uitstoot. </t>
    </r>
  </si>
  <si>
    <t>1.5 Kostenberekening</t>
  </si>
  <si>
    <t>1.1 Overzicht varianten en basisconcept</t>
  </si>
  <si>
    <t>Parameters</t>
  </si>
  <si>
    <t>Varianten</t>
  </si>
  <si>
    <t>Basisconcept</t>
  </si>
  <si>
    <t>Vermogen afnemer</t>
  </si>
  <si>
    <t>Vollasturen warmtenet</t>
  </si>
  <si>
    <t>Vollasturen warmteafzet</t>
  </si>
  <si>
    <t>Vollasturen aquathermie systeem</t>
  </si>
  <si>
    <t>Vollasturen TEO systeem</t>
  </si>
  <si>
    <t>Uitval door onderhoud of calamiteit</t>
  </si>
  <si>
    <t>Temperatuurtraject aquathermie systeem (deltaT)</t>
  </si>
  <si>
    <t>n.v.t.</t>
  </si>
  <si>
    <t>Temperatuurtraject TEO systeem (deltaT)</t>
  </si>
  <si>
    <t>Elektriciteitsprijs</t>
  </si>
  <si>
    <t>Vermogensaandeel piekvoorziening</t>
  </si>
  <si>
    <t>Impact WKO</t>
  </si>
  <si>
    <t>met WKO</t>
  </si>
  <si>
    <t>zonder WKO</t>
  </si>
  <si>
    <t>WKO opslagcapaciteit</t>
  </si>
  <si>
    <t>Diepte WKO bronnen</t>
  </si>
  <si>
    <t>Leidingwerk tussen aquathermie en TR</t>
  </si>
  <si>
    <t>500 m + gestuurde boring</t>
  </si>
  <si>
    <t>Leidingwerk tussen TEO en TR</t>
  </si>
  <si>
    <t>Leidingwerk tussen bronnen en TR</t>
  </si>
  <si>
    <t>Situatie onttrekking</t>
  </si>
  <si>
    <t>stedelijk</t>
  </si>
  <si>
    <t>landelijk</t>
  </si>
  <si>
    <t>Energiekosten (inflatie)</t>
  </si>
  <si>
    <t>Rendementseis</t>
  </si>
  <si>
    <t>Toepassing SDE++ subsidie</t>
  </si>
  <si>
    <t>ja</t>
  </si>
  <si>
    <t>nee</t>
  </si>
  <si>
    <t>Variant met TEA/TEO</t>
  </si>
  <si>
    <t>TEA</t>
  </si>
  <si>
    <t>TEO</t>
  </si>
  <si>
    <t>TEA (zonder WKO)</t>
  </si>
  <si>
    <t>Aanvoertemperatuur warmtenet</t>
  </si>
  <si>
    <t>ZLT</t>
  </si>
  <si>
    <t>Temperatuurtraject warmtenet</t>
  </si>
  <si>
    <t>Fase :</t>
  </si>
  <si>
    <t>Variant</t>
  </si>
  <si>
    <t>Basis berekening</t>
  </si>
  <si>
    <t>Opmerkingen</t>
  </si>
  <si>
    <t>WKO opslagcapaciteit per brondoublet</t>
  </si>
  <si>
    <t>Input JBDK</t>
  </si>
  <si>
    <t>Referentie</t>
  </si>
  <si>
    <t>Vermogen - totaal</t>
  </si>
  <si>
    <t>Vermogen - duurzaam systeem</t>
  </si>
  <si>
    <t>Vermogensaandeel duurzaam systeem</t>
  </si>
  <si>
    <t>Kengetallen Techniplan / IF Technology</t>
  </si>
  <si>
    <t>Vermogen - piekvoorziening</t>
  </si>
  <si>
    <t>Warmtevraag - totaal</t>
  </si>
  <si>
    <t>JBDK Techniplan / IF Technology</t>
  </si>
  <si>
    <t>Warmtevraag - duurzaam systeem</t>
  </si>
  <si>
    <t>Aandeel duurzaam systeem</t>
  </si>
  <si>
    <t>Aandeel aquathermie direct naar warmtenet</t>
  </si>
  <si>
    <t>Aandeel WKO warmtelevering</t>
  </si>
  <si>
    <t>Warmtevraag - piekvoorziening</t>
  </si>
  <si>
    <t>Vollasturen piekvoorziening</t>
  </si>
  <si>
    <t>Output JBDK</t>
  </si>
  <si>
    <t>Vermogen - pieklast</t>
  </si>
  <si>
    <t>Warmtevraag - aquathermie</t>
  </si>
  <si>
    <t>Warmtevraag - WKO</t>
  </si>
  <si>
    <t>Warmtevraag - pieklast</t>
  </si>
  <si>
    <t>1.4 Technische en financiele kenmerken</t>
  </si>
  <si>
    <t>Referenties</t>
  </si>
  <si>
    <t>Warmtelevering -  aquathermie direct</t>
  </si>
  <si>
    <t>Warmtelevering - WKO</t>
  </si>
  <si>
    <t>TECHNISCHE KENMERKEN</t>
  </si>
  <si>
    <t>Oppervlakte techniekruimte Energiecentrale</t>
  </si>
  <si>
    <t>WP in energiecentrale</t>
  </si>
  <si>
    <t>vollasturen energiecentrale</t>
  </si>
  <si>
    <t>(S)COP (WP)</t>
  </si>
  <si>
    <t>Oppervlakte techniekruimte WP-centrale</t>
  </si>
  <si>
    <t>Totale energie condensor WP</t>
  </si>
  <si>
    <t>Elektraverbruik WP-centrale</t>
  </si>
  <si>
    <t>Vermogen elektrisch warmtepomp</t>
  </si>
  <si>
    <t>Aquathermie</t>
  </si>
  <si>
    <t>vermogen aquathermie</t>
  </si>
  <si>
    <t>temperatuurverschil</t>
  </si>
  <si>
    <t>volumestroom</t>
  </si>
  <si>
    <t>Benodigde capaciteit aquathermie</t>
  </si>
  <si>
    <t>Energie bron aquathermie ontladen</t>
  </si>
  <si>
    <t>COPaquathermie-systeem</t>
  </si>
  <si>
    <t>Elektraverbruik aquathermie</t>
  </si>
  <si>
    <t>WKO</t>
  </si>
  <si>
    <t>Diepte aquifer</t>
  </si>
  <si>
    <t>vermogen verdamper</t>
  </si>
  <si>
    <t>Benodigde capaciteit</t>
  </si>
  <si>
    <t>Maximale capaciteit per doublet</t>
  </si>
  <si>
    <t>Aantal doubletten</t>
  </si>
  <si>
    <t>Energie bron WKO ontladen</t>
  </si>
  <si>
    <t>COP WKO-systeem</t>
  </si>
  <si>
    <t>Elektraverbruik WKO</t>
  </si>
  <si>
    <t>Leidingtrace aquathermie + WKO</t>
  </si>
  <si>
    <t>vermogen verdamper (GKW)</t>
  </si>
  <si>
    <t>temperatuurverschil (GKW)</t>
  </si>
  <si>
    <t>volumestroom (GKW)</t>
  </si>
  <si>
    <t>leidingdiameter (GKW)</t>
  </si>
  <si>
    <t>DN400</t>
  </si>
  <si>
    <t>DN250</t>
  </si>
  <si>
    <t>leidingweerstand (GKW)</t>
  </si>
  <si>
    <t>Leidingwerk tussen TEO en TR (GKW)</t>
  </si>
  <si>
    <t>totale weerstand (GKW)</t>
  </si>
  <si>
    <t>pomprendement totaal (GKW)</t>
  </si>
  <si>
    <t>pompvermogen (GKW)</t>
  </si>
  <si>
    <t>COP distributiepomp</t>
  </si>
  <si>
    <t>vermogen verdamper (WKO)</t>
  </si>
  <si>
    <t>temperatuurverschil (WKO)</t>
  </si>
  <si>
    <t>vermogen laden WKO</t>
  </si>
  <si>
    <t>temperatuurverschil laden (WKO)</t>
  </si>
  <si>
    <t>volumestroom laden (WKO)</t>
  </si>
  <si>
    <t>leidingdiameter (WKO)</t>
  </si>
  <si>
    <t>leidingweerstand (WKO)</t>
  </si>
  <si>
    <t>Leidingwerk tussen bronnen en TR (WKO)</t>
  </si>
  <si>
    <t>totale weerstand (WKO)</t>
  </si>
  <si>
    <t>pomprendement totaal (WKO)</t>
  </si>
  <si>
    <t>pompvermogen (WKO)</t>
  </si>
  <si>
    <t>E-/gas-ketels</t>
  </si>
  <si>
    <t>E-/gas-ketel vermogen</t>
  </si>
  <si>
    <t>Totale energie E-/gas-ketels</t>
  </si>
  <si>
    <t>COP</t>
  </si>
  <si>
    <t>Oppervlakte techniekruimte E-ketels</t>
  </si>
  <si>
    <t>Elektra-/gasverbruik ketels</t>
  </si>
  <si>
    <t>BASISKOSTEN/INKOMSTEN</t>
  </si>
  <si>
    <t>Kostenkentallen</t>
  </si>
  <si>
    <t>grondkosten leidingwerk (GKW)</t>
  </si>
  <si>
    <t>grondkosten leidingwerk (WKO)</t>
  </si>
  <si>
    <t>grondkosten innamepunt (WKO)</t>
  </si>
  <si>
    <t>bouwkosten leidingwerk (GKW)</t>
  </si>
  <si>
    <t>bouwkosten leidingwerk (WKO)</t>
  </si>
  <si>
    <t>Capaciteitsprijs aquathermie-systeem</t>
  </si>
  <si>
    <t>Capaciteitsprijs warmtepomp</t>
  </si>
  <si>
    <t>Input warmtebedrijven</t>
  </si>
  <si>
    <t>Kosten WKO</t>
  </si>
  <si>
    <t>Capaciteitsprijs E-/gasketels</t>
  </si>
  <si>
    <t>Capaciteitsprijs bouwkundig</t>
  </si>
  <si>
    <t>Capaciteitsprijs elektra</t>
  </si>
  <si>
    <t>Overig elektra</t>
  </si>
  <si>
    <t>Vastrecht elektriciteit</t>
  </si>
  <si>
    <t>Variabel verbruik elektriciteit</t>
  </si>
  <si>
    <t>Energiebelasting</t>
  </si>
  <si>
    <t>ODE</t>
  </si>
  <si>
    <t>Samengevoegd variabel energietarief</t>
  </si>
  <si>
    <t>Vastrecht gas</t>
  </si>
  <si>
    <t>Variabel gas</t>
  </si>
  <si>
    <t>Algemene uitvoeringskosten incl. winst &amp; risico</t>
  </si>
  <si>
    <t>Grondkosten + Bouwkosten onvoorzien</t>
  </si>
  <si>
    <t>Projectbegeleiding door opdrachtgever</t>
  </si>
  <si>
    <t>Honoraria planontwikkeling</t>
  </si>
  <si>
    <t>Aansluitkosten Nuts</t>
  </si>
  <si>
    <t>Verzekeringen</t>
  </si>
  <si>
    <t>Vergunningen &amp; heffingen</t>
  </si>
  <si>
    <t>Afsluitkosten</t>
  </si>
  <si>
    <t>Rente OPEX/CAPEX</t>
  </si>
  <si>
    <t>Leen periode</t>
  </si>
  <si>
    <t>Aandeel vreemd vermogen</t>
  </si>
  <si>
    <t>Preventief onderhoud</t>
  </si>
  <si>
    <t>Vervanging</t>
  </si>
  <si>
    <t>Beheerkosten</t>
  </si>
  <si>
    <t>Verzekering</t>
  </si>
  <si>
    <t>Inkomsten</t>
  </si>
  <si>
    <t>GJ tarief warmte</t>
  </si>
  <si>
    <t>Vastrecht warmte</t>
  </si>
  <si>
    <t>GJ tarief koude</t>
  </si>
  <si>
    <t>Vastrecht koude</t>
  </si>
  <si>
    <t>Variabel verkoop warmte</t>
  </si>
  <si>
    <t>SDE++</t>
  </si>
  <si>
    <t>CO2 uitstoot</t>
  </si>
  <si>
    <t>Emissiecoefficient (elektra)</t>
  </si>
  <si>
    <t>KEV 2021</t>
  </si>
  <si>
    <t>Emissiecoefficient (gas)</t>
  </si>
  <si>
    <t>CO2emissiefactoren.nl</t>
  </si>
  <si>
    <t>CAPEX</t>
  </si>
  <si>
    <t>Leidingtrace TEO</t>
  </si>
  <si>
    <t>grondkosten leidingtrace (TEO)</t>
  </si>
  <si>
    <t>grondkosten innamepunt (TEO)</t>
  </si>
  <si>
    <t>Grondkosten</t>
  </si>
  <si>
    <t>bouwkosten leidingtrace (GKW)</t>
  </si>
  <si>
    <t>bouwkosten innamepunt (GKW)</t>
  </si>
  <si>
    <t>bouwkosten pompinstallatie (GKW)</t>
  </si>
  <si>
    <t>bouwkosten</t>
  </si>
  <si>
    <t>onvoorzien</t>
  </si>
  <si>
    <t>bijkomende kosten</t>
  </si>
  <si>
    <t>financiering</t>
  </si>
  <si>
    <t>CAPEX Leidingtrace TEO</t>
  </si>
  <si>
    <t xml:space="preserve">Afschrijvingstermijn </t>
  </si>
  <si>
    <t>Afschrijfkosten gemiddeld</t>
  </si>
  <si>
    <t>Leidingtrace WKO</t>
  </si>
  <si>
    <t>grondkosten leidingtrace (GKW)</t>
  </si>
  <si>
    <t>grondkosten innamepunt (GKW)</t>
  </si>
  <si>
    <t>CAPEX Leidingtrace WKO</t>
  </si>
  <si>
    <t>CAPEX warmtepomp</t>
  </si>
  <si>
    <t>CAPEX overige installaties</t>
  </si>
  <si>
    <t>CAPEX bouwkundig</t>
  </si>
  <si>
    <t>CAPEX elektra aansluiting</t>
  </si>
  <si>
    <t>CAPEX overige elektra</t>
  </si>
  <si>
    <t>CAPEX subtotaal</t>
  </si>
  <si>
    <t>CAPEX WP-centrale</t>
  </si>
  <si>
    <t>Herinvestering</t>
  </si>
  <si>
    <t>CAPEX aquathermie systeem subtotaal</t>
  </si>
  <si>
    <t>CAPEX aquathermie</t>
  </si>
  <si>
    <t>CAPEX bronnen subtotaal</t>
  </si>
  <si>
    <t>CAPEX WKO</t>
  </si>
  <si>
    <t>E-/gas-ketels in energiecentral</t>
  </si>
  <si>
    <t>CAPEX E-/gas-ketel</t>
  </si>
  <si>
    <t>CAPEX E-ketels</t>
  </si>
  <si>
    <t>TOTAAL</t>
  </si>
  <si>
    <t xml:space="preserve">met financiering </t>
  </si>
  <si>
    <t>Zonder financiering</t>
  </si>
  <si>
    <t>Totale afschrijfkosten per jaar</t>
  </si>
  <si>
    <t>Herinvestering na 15 jaar</t>
  </si>
  <si>
    <t>OPEX</t>
  </si>
  <si>
    <t>Leidingtrace aquathermie</t>
  </si>
  <si>
    <t>energiekosten pompenenergie (GKW)</t>
  </si>
  <si>
    <t>onderhoud &amp; beheer</t>
  </si>
  <si>
    <t>OPEX Leidingtrace aquathermie</t>
  </si>
  <si>
    <t>energiekosten pompenenergie (WKO)</t>
  </si>
  <si>
    <t>OPEX Leidingtrace TEO</t>
  </si>
  <si>
    <t>WP-centrale</t>
  </si>
  <si>
    <t>Vastrecht kosten elektra</t>
  </si>
  <si>
    <t>Variabele kosten elektra</t>
  </si>
  <si>
    <t>Elektrakosten</t>
  </si>
  <si>
    <t>OPEX WP-centrale</t>
  </si>
  <si>
    <t>Vastrecht prijs per jaar</t>
  </si>
  <si>
    <t>Elektrakosten aquathermie</t>
  </si>
  <si>
    <t>OPEX aquathermie</t>
  </si>
  <si>
    <t>Elektrakosten WKO</t>
  </si>
  <si>
    <t>OPEX WKO</t>
  </si>
  <si>
    <t>Vastrecht kosten elektra/gas</t>
  </si>
  <si>
    <t>Variabele kosten elektra/gas</t>
  </si>
  <si>
    <t>Elektra-/gaskosten</t>
  </si>
  <si>
    <t>OPEX E-ketels</t>
  </si>
  <si>
    <t>OPBRENGSTEN + TERUGVERDIENTIJD</t>
  </si>
  <si>
    <t>Warmte</t>
  </si>
  <si>
    <t>Koude</t>
  </si>
  <si>
    <t>Totaal</t>
  </si>
  <si>
    <t>Elektraverbruik energiecentrale (WP+WKO)</t>
  </si>
  <si>
    <r>
      <t>CO</t>
    </r>
    <r>
      <rPr>
        <vertAlign val="subscript"/>
        <sz val="10"/>
        <color theme="1"/>
        <rFont val="MetaNormalLF-Roman"/>
        <family val="2"/>
      </rPr>
      <t>2</t>
    </r>
    <r>
      <rPr>
        <sz val="10"/>
        <color theme="1"/>
        <rFont val="MetaNormalLF-Roman"/>
        <family val="2"/>
      </rPr>
      <t xml:space="preserve"> uitstoot aquathermie per jaar</t>
    </r>
  </si>
  <si>
    <t>Elektra-/gasverbruik piekvoorziening (E-/gasketel)</t>
  </si>
  <si>
    <r>
      <t>CO</t>
    </r>
    <r>
      <rPr>
        <vertAlign val="subscript"/>
        <sz val="10"/>
        <color theme="1"/>
        <rFont val="MetaNormalLF-Roman"/>
        <family val="2"/>
      </rPr>
      <t>2</t>
    </r>
    <r>
      <rPr>
        <sz val="10"/>
        <color theme="1"/>
        <rFont val="MetaNormalLF-Roman"/>
        <family val="2"/>
      </rPr>
      <t xml:space="preserve"> uitstoot piekvoorziening per jaar</t>
    </r>
  </si>
  <si>
    <t>TCO 30 jr.</t>
  </si>
  <si>
    <t>Kosten (€/GJ)</t>
  </si>
  <si>
    <t>CO2 uitstoot (per GJ)</t>
  </si>
  <si>
    <t>DISCLAIMER: Deze Excel berekening bevat een aantal hypothetische casus die verder zijn uitgewerkt in het rapport "gedetailleerde kostenberekening aquathermie" voor het WarmingUp project. Het staat een ieder vrij de resultaten te gebruiken voor het eigen intern, niet-commercieel gebruik, maar is niet geschikt om (ontwerp)beslissingen op te baseren. Hoewel zorgvuldigheid is betracht door IF Technology en Techniplan (in samenwerking met de begeleidingscommissie) bij de ontwikkeling van de berekening, wordt deze aangeboden zonder garantie van welke aard dan ook. Het gebruik ervan is voor eigen rekening en risico. WarmingUP is in geen geval aansprakelijk voor schades ontstaan door gebruik van de kostenberekening.</t>
  </si>
  <si>
    <t>Trendlijn fase 1</t>
  </si>
  <si>
    <t>In dit tabblad worden de technische en financiële kengetallen gegeven en berekend voor alle varianten. De kengetallen zijn gesorteerd per onderdeel van de aquathermie installatie plus een financieel gedeelte.</t>
  </si>
  <si>
    <t xml:space="preserve">De kostenberekening bestaat uit een basisconcept en een aantal varianten, waarvan de waardes zijn vastgesteld in overleg met de begeleidingscommissie. Dit tabblad geeft een overzicht van het basisconcept en de varianten uit Fase 1. </t>
  </si>
  <si>
    <t xml:space="preserve">Dit tabblad laat in meer detail de input parameters zien. De parameters zijn standaard gelijk aan het basisconcept. Er wordt daarnaast een onderscheid gemaakt tussen 3 types cellen: wit, oranje en geel. In witte cellen worden berekeningen uitgevoerd en deze dienen daarom niet aangepast te worden. Oranje en gele cellen zijn kengetallen, waarbij een verder onderscheid wordt gemaakt tussen parameters die je zelf kan aanpassen (oranje) en parameters die zijn gebaseerd op kengetallen (alleen aanpassen als er gedetailleerde informatie is) (geel). De referenties van deze kengetallen zijn aan de rechterkant genoteerd, waarbij in de eerste instantie gebruik is gemaakt van ervaringsgetallen van IF Technology en Techniplan.
</t>
  </si>
  <si>
    <t>Aquathermie is een interessante duurzame energiebron, maar het is voor veel partijen nog ingewikkeld om de kosten van een aquathermie systeem inzichtelijk te maken. Daarom is dit Excel model opgesteld door IF Technology B.V. en Techniplan Adviseurs B.V. Het bestaat uit een gedetailleerde kostenberekening voor verschillende varianten op basis van kengetallen, onderverdeeld over verschillende tabbladen. Het doel van deze berekeningen is om de verschillende varianten met elkaar te vergelijken om zo de invloed van geselecteerde parameters op de kosten aquathermie te bepalen. De opbouw van het model en de tabbladen wordt hieronder kort beschreven.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</si>
</sst>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4" formatCode="_ &quot;€&quot;\ * #,##0.00_ ;_ &quot;€&quot;\ * \-#,##0.00_ ;_ &quot;€&quot;\ * &quot;-&quot;??_ ;_ @_ "/>
    <numFmt numFmtId="43" formatCode="_ * #,##0.00_ ;_ * \-#,##0.00_ ;_ * &quot;-&quot;??_ ;_ @_ "/>
    <numFmt numFmtId="164" formatCode="0.0%"/>
    <numFmt numFmtId="165" formatCode="0.0\ &quot;K&quot;"/>
    <numFmt numFmtId="166" formatCode="0\ &quot;MW&quot;"/>
    <numFmt numFmtId="167" formatCode="0\ &quot;l/s&quot;"/>
    <numFmt numFmtId="168" formatCode="0\ &quot;Pa/m&quot;"/>
    <numFmt numFmtId="169" formatCode="0.0\ &quot;km&quot;"/>
    <numFmt numFmtId="170" formatCode="0\ &quot;kPa&quot;"/>
    <numFmt numFmtId="171" formatCode="0\ &quot;kW&quot;"/>
    <numFmt numFmtId="172" formatCode="_ &quot;€&quot;\ * #,##0_ ;_ &quot;€&quot;\ * \-#,##0_ ;_ &quot;€&quot;\ * &quot;-&quot;??_ ;_ @_ "/>
    <numFmt numFmtId="173" formatCode="0\ &quot;€/m&quot;"/>
    <numFmt numFmtId="174" formatCode="0\ &quot;€/kW&quot;"/>
    <numFmt numFmtId="175" formatCode="0\ &quot;m&quot;"/>
    <numFmt numFmtId="176" formatCode="0\ &quot;K&quot;"/>
    <numFmt numFmtId="177" formatCode="0\ &quot;TJ&quot;"/>
    <numFmt numFmtId="178" formatCode="0\ &quot;€/TJ&quot;"/>
    <numFmt numFmtId="179" formatCode="0\ &quot;m2&quot;"/>
    <numFmt numFmtId="180" formatCode="0.0\ &quot;jaar&quot;"/>
    <numFmt numFmtId="181" formatCode="0.0\ &quot;MW&quot;"/>
    <numFmt numFmtId="182" formatCode="#,##0\ &quot;m3/h&quot;"/>
    <numFmt numFmtId="183" formatCode="_-&quot;€&quot;\ * #,##0.00_-;_-&quot;€&quot;\ * #,##0.00\-;_-&quot;€&quot;\ * &quot;-&quot;??_-;_-@_-"/>
    <numFmt numFmtId="184" formatCode="0\ &quot;€/MWh&quot;"/>
    <numFmt numFmtId="185" formatCode="0.0\ &quot;€/MWh&quot;"/>
    <numFmt numFmtId="186" formatCode="0.0\ &quot;€/GJ&quot;"/>
    <numFmt numFmtId="187" formatCode="0.00\ &quot;€/MWh&quot;"/>
    <numFmt numFmtId="188" formatCode="0\ &quot;€/m2&quot;"/>
    <numFmt numFmtId="189" formatCode="0\ &quot;€/kVA&quot;"/>
    <numFmt numFmtId="190" formatCode="0\ &quot;jaar&quot;"/>
    <numFmt numFmtId="191" formatCode="0\ &quot;uur&quot;"/>
    <numFmt numFmtId="192" formatCode="0\ &quot;m3/h&quot;"/>
    <numFmt numFmtId="193" formatCode="_-* #,##0.00_-;_-* #,##0.00\-;_-* &quot;-&quot;??_-;_-@_-"/>
    <numFmt numFmtId="194" formatCode="0.0\ &quot;kg CO2&quot;"/>
    <numFmt numFmtId="195" formatCode="0\ &quot;kWh&quot;"/>
    <numFmt numFmtId="196" formatCode="0.0"/>
    <numFmt numFmtId="197" formatCode="0.0\ &quot;kg/MWh&quot;"/>
    <numFmt numFmtId="198" formatCode="0.00\ &quot;kg/m3&quot;"/>
    <numFmt numFmtId="199" formatCode="0\ &quot;€/m3/h&quot;"/>
    <numFmt numFmtId="200" formatCode="0\ &quot;€/GJ&quot;"/>
    <numFmt numFmtId="201" formatCode="0\ &quot;€/MW&quot;"/>
    <numFmt numFmtId="202" formatCode="0.0\ &quot;TJ&quot;"/>
  </numFmts>
  <fonts count="36">
    <font>
      <sz val="11"/>
      <color theme="1"/>
      <name val="Calibri"/>
      <family val="2"/>
      <scheme val="minor"/>
    </font>
    <font>
      <sz val="10"/>
      <color theme="1"/>
      <name val="MetaNormalLF-Roman"/>
      <family val="2"/>
    </font>
    <font>
      <sz val="10"/>
      <color theme="1"/>
      <name val="MetaNormalLF-Roman"/>
      <family val="2"/>
    </font>
    <font>
      <sz val="10"/>
      <color theme="1"/>
      <name val="MetaNormalLF-Roman"/>
      <family val="2"/>
    </font>
    <font>
      <sz val="10"/>
      <color theme="1"/>
      <name val="MetaNormalLF-Roman"/>
      <family val="2"/>
    </font>
    <font>
      <sz val="9"/>
      <color theme="1"/>
      <name val="Trebuchet MS"/>
      <family val="2"/>
    </font>
    <font>
      <sz val="10"/>
      <color theme="1"/>
      <name val="MetaNormalLF-Roman"/>
      <family val="2"/>
    </font>
    <font>
      <sz val="10"/>
      <color theme="1"/>
      <name val="MetaNormalLF-Roman"/>
      <family val="2"/>
    </font>
    <font>
      <sz val="10"/>
      <color theme="1"/>
      <name val="MetaNormalLF-Roman"/>
      <family val="2"/>
    </font>
    <font>
      <sz val="10"/>
      <color theme="1"/>
      <name val="MetaNormalLF-Roman"/>
      <family val="2"/>
    </font>
    <font>
      <sz val="9"/>
      <color theme="1"/>
      <name val="Trebuchet MS"/>
      <family val="2"/>
    </font>
    <font>
      <sz val="9"/>
      <color theme="1"/>
      <name val="Trebuchet MS"/>
      <family val="2"/>
    </font>
    <font>
      <sz val="9"/>
      <color theme="1"/>
      <name val="Trebuchet MS"/>
      <family val="2"/>
    </font>
    <font>
      <sz val="11"/>
      <color theme="1"/>
      <name val="Calibri"/>
      <family val="2"/>
      <scheme val="minor"/>
    </font>
    <font>
      <sz val="8"/>
      <name val="Calibri"/>
      <family val="2"/>
      <scheme val="minor"/>
    </font>
    <font>
      <sz val="11"/>
      <color rgb="FF006100"/>
      <name val="Calibri"/>
      <family val="2"/>
      <scheme val="minor"/>
    </font>
    <font>
      <sz val="10"/>
      <name val="MetaNormalLF-Roman"/>
      <family val="2"/>
    </font>
    <font>
      <sz val="12"/>
      <name val="MetaNormalLF-Roman"/>
      <family val="2"/>
    </font>
    <font>
      <b/>
      <sz val="12"/>
      <name val="MetaNormalLF-Roman"/>
      <family val="2"/>
    </font>
    <font>
      <sz val="10"/>
      <name val="Arial"/>
      <family val="2"/>
    </font>
    <font>
      <b/>
      <sz val="11"/>
      <color theme="1"/>
      <name val="Calibri"/>
      <family val="2"/>
      <scheme val="minor"/>
    </font>
    <font>
      <sz val="9"/>
      <color rgb="FF3F3F76"/>
      <name val="Trebuchet MS"/>
      <family val="2"/>
    </font>
    <font>
      <sz val="10"/>
      <color rgb="FFFF0000"/>
      <name val="MetaNormalLF-Roman"/>
      <family val="2"/>
    </font>
    <font>
      <b/>
      <sz val="10"/>
      <color theme="1"/>
      <name val="MetaNormalLF-Roman"/>
      <family val="2"/>
    </font>
    <font>
      <i/>
      <sz val="10"/>
      <color theme="1"/>
      <name val="MetaNormalLF-Roman"/>
      <family val="2"/>
    </font>
    <font>
      <sz val="10"/>
      <color rgb="FF3F3F76"/>
      <name val="MetaNormalLF-Roman"/>
      <family val="2"/>
    </font>
    <font>
      <vertAlign val="subscript"/>
      <sz val="10"/>
      <color theme="1"/>
      <name val="MetaNormalLF-Roman"/>
      <family val="2"/>
    </font>
    <font>
      <i/>
      <sz val="10"/>
      <name val="MetaNormalLF-Roman"/>
      <family val="2"/>
    </font>
    <font>
      <i/>
      <sz val="9"/>
      <name val="MetaNormalLF-Roman"/>
      <family val="2"/>
    </font>
    <font>
      <i/>
      <sz val="9"/>
      <color theme="1"/>
      <name val="MetaNormalLF-Roman"/>
      <family val="2"/>
    </font>
    <font>
      <sz val="10"/>
      <color rgb="FF006100"/>
      <name val="MetaNormalLF-Roman"/>
      <family val="2"/>
    </font>
    <font>
      <u/>
      <sz val="11"/>
      <color theme="10"/>
      <name val="Calibri"/>
      <family val="2"/>
      <scheme val="minor"/>
    </font>
    <font>
      <sz val="11"/>
      <color rgb="FFFF0000"/>
      <name val="Calibri"/>
      <family val="2"/>
      <scheme val="minor"/>
    </font>
    <font>
      <sz val="11"/>
      <color rgb="FF0000FF"/>
      <name val="Calibri"/>
      <family val="2"/>
      <scheme val="minor"/>
    </font>
    <font>
      <b/>
      <i/>
      <sz val="10"/>
      <color theme="1"/>
      <name val="MetaNormalLF-Roman"/>
      <family val="2"/>
    </font>
    <font>
      <b/>
      <sz val="10"/>
      <name val="MetaNormalLF-Roman"/>
    </font>
  </fonts>
  <fills count="21">
    <fill>
      <patternFill patternType="none"/>
    </fill>
    <fill>
      <patternFill patternType="gray125"/>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rgb="FFC6EFCE"/>
      </patternFill>
    </fill>
    <fill>
      <patternFill patternType="solid">
        <fgColor theme="0" tint="-0.249977111117893"/>
        <bgColor indexed="64"/>
      </patternFill>
    </fill>
    <fill>
      <patternFill patternType="solid">
        <fgColor theme="0" tint="-0.249977111117893"/>
        <bgColor indexed="22"/>
      </patternFill>
    </fill>
    <fill>
      <patternFill patternType="solid">
        <fgColor theme="6"/>
        <bgColor indexed="64"/>
      </patternFill>
    </fill>
    <fill>
      <patternFill patternType="solid">
        <fgColor theme="4"/>
        <bgColor indexed="64"/>
      </patternFill>
    </fill>
    <fill>
      <patternFill patternType="solid">
        <fgColor rgb="FFFFCC99"/>
      </patternFill>
    </fill>
    <fill>
      <patternFill patternType="solid">
        <fgColor theme="5" tint="0.79998168889431442"/>
        <bgColor indexed="64"/>
      </patternFill>
    </fill>
    <fill>
      <patternFill patternType="solid">
        <fgColor theme="5"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rgb="FFFFF2CC"/>
        <bgColor indexed="64"/>
      </patternFill>
    </fill>
    <fill>
      <patternFill patternType="solid">
        <fgColor theme="7" tint="0.79998168889431442"/>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s>
  <cellStyleXfs count="24">
    <xf numFmtId="0" fontId="0" fillId="0" borderId="0"/>
    <xf numFmtId="9" fontId="13" fillId="0" borderId="0" applyFont="0" applyFill="0" applyBorder="0" applyAlignment="0" applyProtection="0"/>
    <xf numFmtId="0" fontId="15" fillId="7" borderId="0" applyNumberFormat="0" applyBorder="0" applyAlignment="0" applyProtection="0"/>
    <xf numFmtId="3" fontId="16" fillId="0" borderId="0">
      <alignment vertical="top"/>
    </xf>
    <xf numFmtId="183"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0" fontId="21" fillId="12" borderId="10" applyNumberFormat="0" applyAlignment="0" applyProtection="0"/>
    <xf numFmtId="0" fontId="12" fillId="0" borderId="0"/>
    <xf numFmtId="44" fontId="13" fillId="0" borderId="0" applyFont="0" applyFill="0" applyBorder="0" applyAlignment="0" applyProtection="0"/>
    <xf numFmtId="193" fontId="19" fillId="0" borderId="0" applyFont="0" applyFill="0" applyBorder="0" applyAlignment="0" applyProtection="0"/>
    <xf numFmtId="0" fontId="11" fillId="0" borderId="0"/>
    <xf numFmtId="0" fontId="31" fillId="0" borderId="0" applyNumberFormat="0" applyFill="0" applyBorder="0" applyAlignment="0" applyProtection="0"/>
    <xf numFmtId="0" fontId="7" fillId="0" borderId="0"/>
    <xf numFmtId="0" fontId="10" fillId="0" borderId="0"/>
    <xf numFmtId="44" fontId="13" fillId="0" borderId="0" applyFont="0" applyFill="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0" borderId="0"/>
    <xf numFmtId="0" fontId="6" fillId="0" borderId="0"/>
    <xf numFmtId="43" fontId="13" fillId="0" borderId="0" applyFont="0" applyFill="0" applyBorder="0" applyAlignment="0" applyProtection="0"/>
    <xf numFmtId="0" fontId="5" fillId="0" borderId="0"/>
  </cellStyleXfs>
  <cellXfs count="231">
    <xf numFmtId="0" fontId="0" fillId="0" borderId="0" xfId="0"/>
    <xf numFmtId="0" fontId="18" fillId="9" borderId="2" xfId="3" applyNumberFormat="1" applyFont="1" applyFill="1" applyBorder="1" applyAlignment="1"/>
    <xf numFmtId="0" fontId="18" fillId="9" borderId="0" xfId="3" applyNumberFormat="1" applyFont="1" applyFill="1" applyAlignment="1"/>
    <xf numFmtId="0" fontId="17" fillId="9" borderId="3" xfId="3" applyNumberFormat="1" applyFont="1" applyFill="1" applyBorder="1" applyAlignment="1"/>
    <xf numFmtId="0" fontId="20" fillId="0" borderId="0" xfId="0" applyFont="1"/>
    <xf numFmtId="0" fontId="23" fillId="4" borderId="0" xfId="0" applyFont="1" applyFill="1" applyAlignment="1">
      <alignment horizontal="left"/>
    </xf>
    <xf numFmtId="0" fontId="23" fillId="0" borderId="0" xfId="0" applyFont="1" applyAlignment="1">
      <alignment horizontal="left"/>
    </xf>
    <xf numFmtId="0" fontId="23" fillId="0" borderId="0" xfId="0" applyFont="1" applyAlignment="1">
      <alignment horizontal="right"/>
    </xf>
    <xf numFmtId="166" fontId="16" fillId="0" borderId="0" xfId="0" applyNumberFormat="1" applyFont="1" applyAlignment="1">
      <alignment horizontal="right" vertical="center"/>
    </xf>
    <xf numFmtId="1" fontId="16" fillId="0" borderId="0" xfId="0" applyNumberFormat="1" applyFont="1" applyAlignment="1">
      <alignment horizontal="right" vertical="center"/>
    </xf>
    <xf numFmtId="9" fontId="16" fillId="0" borderId="0" xfId="0" applyNumberFormat="1" applyFont="1" applyAlignment="1">
      <alignment horizontal="right" vertical="center"/>
    </xf>
    <xf numFmtId="165" fontId="16" fillId="0" borderId="0" xfId="0" applyNumberFormat="1" applyFont="1" applyAlignment="1">
      <alignment horizontal="right" vertical="center"/>
    </xf>
    <xf numFmtId="192" fontId="16" fillId="0" borderId="0" xfId="0" applyNumberFormat="1" applyFont="1" applyAlignment="1">
      <alignment horizontal="right" vertical="center"/>
    </xf>
    <xf numFmtId="175" fontId="16" fillId="0" borderId="0" xfId="0" applyNumberFormat="1" applyFont="1" applyAlignment="1">
      <alignment horizontal="right" vertical="center"/>
    </xf>
    <xf numFmtId="0" fontId="23" fillId="2" borderId="0" xfId="0" applyFont="1" applyFill="1"/>
    <xf numFmtId="0" fontId="22" fillId="0" borderId="0" xfId="0" applyFont="1" applyAlignment="1">
      <alignment horizontal="right"/>
    </xf>
    <xf numFmtId="0" fontId="24" fillId="0" borderId="0" xfId="0" applyFont="1"/>
    <xf numFmtId="177" fontId="16" fillId="0" borderId="0" xfId="0" applyNumberFormat="1" applyFont="1" applyAlignment="1">
      <alignment horizontal="right"/>
    </xf>
    <xf numFmtId="0" fontId="23" fillId="6" borderId="0" xfId="0" applyFont="1" applyFill="1" applyAlignment="1">
      <alignment horizontal="left"/>
    </xf>
    <xf numFmtId="1" fontId="16" fillId="0" borderId="0" xfId="0" applyNumberFormat="1" applyFont="1"/>
    <xf numFmtId="181" fontId="16" fillId="0" borderId="0" xfId="0" applyNumberFormat="1" applyFont="1"/>
    <xf numFmtId="167" fontId="16" fillId="0" borderId="0" xfId="0" applyNumberFormat="1" applyFont="1"/>
    <xf numFmtId="170" fontId="16" fillId="0" borderId="0" xfId="0" applyNumberFormat="1" applyFont="1"/>
    <xf numFmtId="171" fontId="16" fillId="0" borderId="0" xfId="0" applyNumberFormat="1" applyFont="1"/>
    <xf numFmtId="175" fontId="16" fillId="0" borderId="0" xfId="0" applyNumberFormat="1" applyFont="1" applyAlignment="1">
      <alignment horizontal="right"/>
    </xf>
    <xf numFmtId="0" fontId="23" fillId="10" borderId="0" xfId="0" applyFont="1" applyFill="1" applyAlignment="1">
      <alignment horizontal="left"/>
    </xf>
    <xf numFmtId="9" fontId="22" fillId="0" borderId="0" xfId="0" applyNumberFormat="1" applyFont="1"/>
    <xf numFmtId="164" fontId="22" fillId="0" borderId="0" xfId="0" applyNumberFormat="1" applyFont="1"/>
    <xf numFmtId="0" fontId="24" fillId="0" borderId="0" xfId="0" applyFont="1" applyAlignment="1">
      <alignment horizontal="left"/>
    </xf>
    <xf numFmtId="179" fontId="16" fillId="0" borderId="0" xfId="7" applyNumberFormat="1" applyFont="1" applyFill="1" applyBorder="1" applyAlignment="1">
      <alignment horizontal="right"/>
    </xf>
    <xf numFmtId="181" fontId="16" fillId="0" borderId="0" xfId="7" applyNumberFormat="1" applyFont="1" applyFill="1" applyBorder="1"/>
    <xf numFmtId="177" fontId="27" fillId="0" borderId="0" xfId="0" applyNumberFormat="1" applyFont="1" applyAlignment="1">
      <alignment horizontal="right"/>
    </xf>
    <xf numFmtId="0" fontId="24" fillId="0" borderId="0" xfId="0" applyFont="1" applyAlignment="1">
      <alignment horizontal="right"/>
    </xf>
    <xf numFmtId="9" fontId="28" fillId="0" borderId="0" xfId="0" applyNumberFormat="1" applyFont="1" applyAlignment="1">
      <alignment horizontal="right" vertical="center"/>
    </xf>
    <xf numFmtId="196" fontId="16" fillId="0" borderId="0" xfId="0" applyNumberFormat="1" applyFont="1" applyAlignment="1">
      <alignment horizontal="right" vertical="center"/>
    </xf>
    <xf numFmtId="0" fontId="9" fillId="0" borderId="0" xfId="0" applyFont="1" applyAlignment="1">
      <alignment vertical="center"/>
    </xf>
    <xf numFmtId="0" fontId="16" fillId="8" borderId="2" xfId="3" applyNumberFormat="1" applyFill="1" applyBorder="1" applyAlignment="1">
      <alignment wrapText="1"/>
    </xf>
    <xf numFmtId="0" fontId="9" fillId="0" borderId="0" xfId="0" applyFont="1" applyAlignment="1">
      <alignment horizontal="right"/>
    </xf>
    <xf numFmtId="0" fontId="9" fillId="0" borderId="0" xfId="0" applyFont="1" applyAlignment="1">
      <alignment horizontal="left"/>
    </xf>
    <xf numFmtId="3" fontId="16" fillId="8" borderId="0" xfId="3" applyFill="1" applyAlignment="1">
      <alignment wrapText="1"/>
    </xf>
    <xf numFmtId="3" fontId="16" fillId="8" borderId="3" xfId="3" applyFill="1" applyBorder="1" applyAlignment="1">
      <alignment wrapText="1"/>
    </xf>
    <xf numFmtId="0" fontId="9" fillId="0" borderId="0" xfId="0" applyFont="1"/>
    <xf numFmtId="0" fontId="16" fillId="0" borderId="0" xfId="0" applyFont="1" applyAlignment="1">
      <alignment horizontal="right"/>
    </xf>
    <xf numFmtId="0" fontId="16" fillId="0" borderId="0" xfId="0" applyFont="1" applyAlignment="1">
      <alignment horizontal="left"/>
    </xf>
    <xf numFmtId="176" fontId="16" fillId="0" borderId="0" xfId="7" applyNumberFormat="1" applyFont="1" applyFill="1" applyBorder="1"/>
    <xf numFmtId="0" fontId="27" fillId="0" borderId="0" xfId="0" applyFont="1" applyAlignment="1">
      <alignment horizontal="left"/>
    </xf>
    <xf numFmtId="165" fontId="16" fillId="0" borderId="0" xfId="7" applyNumberFormat="1" applyFont="1" applyFill="1" applyBorder="1"/>
    <xf numFmtId="187" fontId="25" fillId="19" borderId="10" xfId="7" applyNumberFormat="1" applyFont="1" applyFill="1" applyAlignment="1">
      <alignment horizontal="right"/>
    </xf>
    <xf numFmtId="9" fontId="25" fillId="19" borderId="10" xfId="7" applyNumberFormat="1" applyFont="1" applyFill="1"/>
    <xf numFmtId="164" fontId="25" fillId="19" borderId="10" xfId="7" applyNumberFormat="1" applyFont="1" applyFill="1"/>
    <xf numFmtId="190" fontId="25" fillId="19" borderId="10" xfId="7" applyNumberFormat="1" applyFont="1" applyFill="1"/>
    <xf numFmtId="0" fontId="16" fillId="0" borderId="0" xfId="0" applyFont="1"/>
    <xf numFmtId="188" fontId="25" fillId="19" borderId="10" xfId="7" applyNumberFormat="1" applyFont="1" applyFill="1"/>
    <xf numFmtId="189" fontId="25" fillId="19" borderId="10" xfId="7" applyNumberFormat="1" applyFont="1" applyFill="1"/>
    <xf numFmtId="1" fontId="25" fillId="19" borderId="10" xfId="7" applyNumberFormat="1" applyFont="1" applyFill="1" applyAlignment="1">
      <alignment horizontal="right"/>
    </xf>
    <xf numFmtId="0" fontId="25" fillId="19" borderId="10" xfId="7" applyNumberFormat="1" applyFont="1" applyFill="1"/>
    <xf numFmtId="176" fontId="25" fillId="19" borderId="10" xfId="7" applyNumberFormat="1" applyFont="1" applyFill="1"/>
    <xf numFmtId="197" fontId="25" fillId="19" borderId="10" xfId="7" applyNumberFormat="1" applyFont="1" applyFill="1"/>
    <xf numFmtId="198" fontId="25" fillId="19" borderId="10" xfId="7" applyNumberFormat="1" applyFont="1" applyFill="1"/>
    <xf numFmtId="165" fontId="25" fillId="19" borderId="10" xfId="7" applyNumberFormat="1" applyFont="1" applyFill="1"/>
    <xf numFmtId="0" fontId="24" fillId="0" borderId="1" xfId="0" applyFont="1" applyBorder="1" applyAlignment="1">
      <alignment horizontal="left"/>
    </xf>
    <xf numFmtId="0" fontId="17" fillId="9" borderId="4" xfId="3" applyNumberFormat="1" applyFont="1" applyFill="1" applyBorder="1" applyAlignment="1">
      <alignment horizontal="right"/>
    </xf>
    <xf numFmtId="0" fontId="17" fillId="9" borderId="6" xfId="3" applyNumberFormat="1" applyFont="1" applyFill="1" applyBorder="1" applyAlignment="1">
      <alignment horizontal="right"/>
    </xf>
    <xf numFmtId="0" fontId="17" fillId="9" borderId="8" xfId="3" applyNumberFormat="1" applyFont="1" applyFill="1" applyBorder="1" applyAlignment="1">
      <alignment horizontal="right"/>
    </xf>
    <xf numFmtId="0" fontId="29" fillId="0" borderId="0" xfId="0" applyFont="1"/>
    <xf numFmtId="0" fontId="8" fillId="0" borderId="0" xfId="0" applyFont="1" applyAlignment="1">
      <alignment vertical="center"/>
    </xf>
    <xf numFmtId="0" fontId="16" fillId="8" borderId="5" xfId="3" applyNumberFormat="1" applyFill="1" applyBorder="1" applyAlignment="1">
      <alignment wrapText="1"/>
    </xf>
    <xf numFmtId="3" fontId="16" fillId="8" borderId="7" xfId="3" applyFill="1" applyBorder="1" applyAlignment="1">
      <alignment wrapText="1"/>
    </xf>
    <xf numFmtId="3" fontId="16" fillId="8" borderId="9" xfId="3" applyFill="1" applyBorder="1" applyAlignment="1">
      <alignment wrapText="1"/>
    </xf>
    <xf numFmtId="0" fontId="8" fillId="0" borderId="0" xfId="0" applyFont="1" applyAlignment="1">
      <alignment horizontal="right"/>
    </xf>
    <xf numFmtId="0" fontId="8" fillId="0" borderId="0" xfId="0" applyFont="1" applyAlignment="1">
      <alignment horizontal="left"/>
    </xf>
    <xf numFmtId="0" fontId="8" fillId="0" borderId="0" xfId="0" applyFont="1"/>
    <xf numFmtId="9" fontId="16" fillId="0" borderId="0" xfId="0" applyNumberFormat="1" applyFont="1" applyAlignment="1">
      <alignment horizontal="left" vertical="top"/>
    </xf>
    <xf numFmtId="172" fontId="24" fillId="13" borderId="0" xfId="0" applyNumberFormat="1" applyFont="1" applyFill="1"/>
    <xf numFmtId="172" fontId="23" fillId="0" borderId="0" xfId="0" applyNumberFormat="1" applyFont="1"/>
    <xf numFmtId="174" fontId="23" fillId="0" borderId="0" xfId="0" applyNumberFormat="1" applyFont="1"/>
    <xf numFmtId="0" fontId="23" fillId="0" borderId="1" xfId="0" applyFont="1" applyBorder="1" applyAlignment="1">
      <alignment horizontal="left"/>
    </xf>
    <xf numFmtId="0" fontId="23" fillId="0" borderId="0" xfId="0" applyFont="1"/>
    <xf numFmtId="186" fontId="23" fillId="0" borderId="0" xfId="0" applyNumberFormat="1" applyFont="1"/>
    <xf numFmtId="172" fontId="24" fillId="0" borderId="0" xfId="0" applyNumberFormat="1" applyFont="1"/>
    <xf numFmtId="0" fontId="16" fillId="0" borderId="0" xfId="3" applyNumberFormat="1" applyAlignment="1">
      <alignment wrapText="1"/>
    </xf>
    <xf numFmtId="3" fontId="16" fillId="0" borderId="0" xfId="3" applyAlignment="1">
      <alignment wrapText="1"/>
    </xf>
    <xf numFmtId="181" fontId="16" fillId="0" borderId="0" xfId="0" applyNumberFormat="1" applyFont="1" applyAlignment="1">
      <alignment horizontal="right" vertical="center"/>
    </xf>
    <xf numFmtId="177" fontId="16" fillId="0" borderId="0" xfId="0" applyNumberFormat="1" applyFont="1"/>
    <xf numFmtId="177" fontId="22" fillId="0" borderId="0" xfId="0" applyNumberFormat="1" applyFont="1"/>
    <xf numFmtId="9" fontId="22" fillId="0" borderId="0" xfId="0" applyNumberFormat="1" applyFont="1" applyAlignment="1">
      <alignment horizontal="right" vertical="center"/>
    </xf>
    <xf numFmtId="191" fontId="27" fillId="0" borderId="0" xfId="0" applyNumberFormat="1" applyFont="1"/>
    <xf numFmtId="166" fontId="16" fillId="0" borderId="0" xfId="0" applyNumberFormat="1" applyFont="1" applyAlignment="1">
      <alignment horizontal="right"/>
    </xf>
    <xf numFmtId="177" fontId="27" fillId="0" borderId="0" xfId="0" applyNumberFormat="1" applyFont="1"/>
    <xf numFmtId="0" fontId="23" fillId="4" borderId="0" xfId="0" applyFont="1" applyFill="1" applyAlignment="1">
      <alignment horizontal="right"/>
    </xf>
    <xf numFmtId="0" fontId="23" fillId="5" borderId="0" xfId="0" applyFont="1" applyFill="1" applyAlignment="1">
      <alignment horizontal="left"/>
    </xf>
    <xf numFmtId="0" fontId="23" fillId="2" borderId="0" xfId="0" applyFont="1" applyFill="1" applyAlignment="1">
      <alignment horizontal="left"/>
    </xf>
    <xf numFmtId="0" fontId="23" fillId="11" borderId="0" xfId="0" applyFont="1" applyFill="1" applyAlignment="1">
      <alignment horizontal="left"/>
    </xf>
    <xf numFmtId="0" fontId="23" fillId="6" borderId="0" xfId="0" applyFont="1" applyFill="1"/>
    <xf numFmtId="0" fontId="23" fillId="2" borderId="0" xfId="0" applyFont="1" applyFill="1" applyAlignment="1">
      <alignment horizontal="right"/>
    </xf>
    <xf numFmtId="166" fontId="16" fillId="0" borderId="0" xfId="0" applyNumberFormat="1" applyFont="1" applyAlignment="1">
      <alignment horizontal="center"/>
    </xf>
    <xf numFmtId="166" fontId="25" fillId="0" borderId="0" xfId="7" applyNumberFormat="1" applyFont="1" applyFill="1" applyBorder="1" applyAlignment="1">
      <alignment horizontal="right" vertical="center"/>
    </xf>
    <xf numFmtId="0" fontId="24" fillId="0" borderId="0" xfId="0" applyFont="1" applyAlignment="1">
      <alignment horizontal="right" vertical="center"/>
    </xf>
    <xf numFmtId="3" fontId="24" fillId="0" borderId="0" xfId="0" applyNumberFormat="1" applyFont="1" applyAlignment="1">
      <alignment horizontal="center"/>
    </xf>
    <xf numFmtId="0" fontId="25" fillId="0" borderId="0" xfId="7" applyFont="1" applyFill="1" applyBorder="1" applyAlignment="1">
      <alignment horizontal="right" vertical="center"/>
    </xf>
    <xf numFmtId="175" fontId="25" fillId="0" borderId="0" xfId="7" applyNumberFormat="1" applyFont="1" applyFill="1" applyBorder="1" applyAlignment="1">
      <alignment horizontal="right" vertical="center"/>
    </xf>
    <xf numFmtId="166" fontId="22" fillId="0" borderId="0" xfId="0" applyNumberFormat="1" applyFont="1" applyAlignment="1">
      <alignment horizontal="left" vertical="center"/>
    </xf>
    <xf numFmtId="0" fontId="16" fillId="0" borderId="0" xfId="0" applyFont="1" applyAlignment="1">
      <alignment horizontal="center"/>
    </xf>
    <xf numFmtId="181" fontId="16" fillId="0" borderId="0" xfId="0" applyNumberFormat="1" applyFont="1" applyAlignment="1">
      <alignment horizontal="center"/>
    </xf>
    <xf numFmtId="3" fontId="28" fillId="0" borderId="0" xfId="0" applyNumberFormat="1" applyFont="1" applyAlignment="1">
      <alignment horizontal="center"/>
    </xf>
    <xf numFmtId="0" fontId="28" fillId="0" borderId="0" xfId="0" applyFont="1" applyAlignment="1">
      <alignment horizontal="center"/>
    </xf>
    <xf numFmtId="165" fontId="16" fillId="0" borderId="0" xfId="0" applyNumberFormat="1" applyFont="1" applyAlignment="1">
      <alignment horizontal="center"/>
    </xf>
    <xf numFmtId="9" fontId="16" fillId="0" borderId="0" xfId="0" applyNumberFormat="1" applyFont="1" applyAlignment="1">
      <alignment horizontal="center"/>
    </xf>
    <xf numFmtId="192" fontId="16" fillId="0" borderId="0" xfId="0" applyNumberFormat="1" applyFont="1" applyAlignment="1">
      <alignment horizontal="center"/>
    </xf>
    <xf numFmtId="175" fontId="16" fillId="0" borderId="0" xfId="0" applyNumberFormat="1" applyFont="1" applyAlignment="1">
      <alignment horizontal="center"/>
    </xf>
    <xf numFmtId="9" fontId="16" fillId="0" borderId="0" xfId="0" applyNumberFormat="1" applyFont="1" applyAlignment="1">
      <alignment horizontal="center" vertical="center"/>
    </xf>
    <xf numFmtId="0" fontId="23" fillId="10" borderId="0" xfId="0" applyFont="1" applyFill="1"/>
    <xf numFmtId="0" fontId="23" fillId="2" borderId="0" xfId="0" applyFont="1" applyFill="1" applyAlignment="1">
      <alignment vertical="center"/>
    </xf>
    <xf numFmtId="0" fontId="23" fillId="10" borderId="0" xfId="0" applyFont="1" applyFill="1" applyAlignment="1">
      <alignment vertical="center"/>
    </xf>
    <xf numFmtId="0" fontId="25" fillId="19" borderId="10" xfId="7" applyFont="1" applyFill="1"/>
    <xf numFmtId="0" fontId="31" fillId="0" borderId="0" xfId="12" quotePrefix="1" applyAlignment="1">
      <alignment vertical="center"/>
    </xf>
    <xf numFmtId="0" fontId="33" fillId="0" borderId="0" xfId="0" applyFont="1"/>
    <xf numFmtId="0" fontId="32" fillId="0" borderId="0" xfId="0" applyFont="1"/>
    <xf numFmtId="164" fontId="27" fillId="19" borderId="10" xfId="7" applyNumberFormat="1" applyFont="1" applyFill="1"/>
    <xf numFmtId="164" fontId="27" fillId="19" borderId="10" xfId="7" applyNumberFormat="1" applyFont="1" applyFill="1" applyAlignment="1">
      <alignment horizontal="right" vertical="center"/>
    </xf>
    <xf numFmtId="0" fontId="34" fillId="10" borderId="0" xfId="0" applyFont="1" applyFill="1" applyAlignment="1">
      <alignment horizontal="left"/>
    </xf>
    <xf numFmtId="195" fontId="24" fillId="0" borderId="0" xfId="0" applyNumberFormat="1" applyFont="1" applyAlignment="1">
      <alignment vertical="center"/>
    </xf>
    <xf numFmtId="194" fontId="23" fillId="0" borderId="0" xfId="0" applyNumberFormat="1" applyFont="1" applyAlignment="1">
      <alignment vertical="center"/>
    </xf>
    <xf numFmtId="180" fontId="30" fillId="0" borderId="0" xfId="2" applyNumberFormat="1" applyFont="1" applyFill="1" applyBorder="1" applyAlignment="1"/>
    <xf numFmtId="0" fontId="23" fillId="4" borderId="0" xfId="0" applyFont="1" applyFill="1"/>
    <xf numFmtId="0" fontId="23" fillId="5" borderId="0" xfId="0" applyFont="1" applyFill="1"/>
    <xf numFmtId="0" fontId="23" fillId="0" borderId="1" xfId="0" applyFont="1" applyBorder="1"/>
    <xf numFmtId="0" fontId="23" fillId="11" borderId="0" xfId="0" applyFont="1" applyFill="1"/>
    <xf numFmtId="200" fontId="23" fillId="0" borderId="0" xfId="0" applyNumberFormat="1" applyFont="1"/>
    <xf numFmtId="180" fontId="30" fillId="0" borderId="0" xfId="2" applyNumberFormat="1" applyFont="1" applyFill="1" applyAlignment="1" applyProtection="1"/>
    <xf numFmtId="202" fontId="16" fillId="0" borderId="0" xfId="0" applyNumberFormat="1" applyFont="1"/>
    <xf numFmtId="3" fontId="27" fillId="0" borderId="0" xfId="0" applyNumberFormat="1" applyFont="1" applyAlignment="1">
      <alignment horizontal="center"/>
    </xf>
    <xf numFmtId="0" fontId="27" fillId="0" borderId="0" xfId="0" applyFont="1" applyAlignment="1">
      <alignment horizontal="center"/>
    </xf>
    <xf numFmtId="187" fontId="16" fillId="0" borderId="0" xfId="0" applyNumberFormat="1" applyFont="1" applyAlignment="1">
      <alignment horizontal="right" vertical="center"/>
    </xf>
    <xf numFmtId="0" fontId="16" fillId="8" borderId="5" xfId="3" applyNumberFormat="1" applyFill="1" applyBorder="1" applyAlignment="1">
      <alignment vertical="center" wrapText="1"/>
    </xf>
    <xf numFmtId="3" fontId="16" fillId="8" borderId="7" xfId="3" applyFill="1" applyBorder="1" applyAlignment="1">
      <alignment vertical="center" wrapText="1"/>
    </xf>
    <xf numFmtId="3" fontId="16" fillId="8" borderId="9" xfId="3" applyFill="1" applyBorder="1" applyAlignment="1">
      <alignment vertical="center" wrapText="1"/>
    </xf>
    <xf numFmtId="0" fontId="16" fillId="0" borderId="0" xfId="0" applyFont="1" applyAlignment="1">
      <alignment horizontal="center" vertical="center"/>
    </xf>
    <xf numFmtId="3" fontId="16" fillId="0" borderId="6" xfId="3" applyBorder="1" applyAlignment="1">
      <alignment wrapText="1"/>
    </xf>
    <xf numFmtId="0" fontId="4" fillId="0" borderId="0" xfId="0" applyFont="1" applyAlignment="1">
      <alignment vertical="center"/>
    </xf>
    <xf numFmtId="0" fontId="4" fillId="0" borderId="0" xfId="0" applyFont="1" applyAlignment="1">
      <alignment horizontal="right"/>
    </xf>
    <xf numFmtId="0" fontId="4" fillId="0" borderId="0" xfId="0" applyFont="1"/>
    <xf numFmtId="9" fontId="4" fillId="0" borderId="0" xfId="0" applyNumberFormat="1" applyFont="1"/>
    <xf numFmtId="0" fontId="4" fillId="2" borderId="0" xfId="0" applyFont="1" applyFill="1"/>
    <xf numFmtId="0" fontId="4" fillId="10" borderId="0" xfId="0" applyFont="1" applyFill="1"/>
    <xf numFmtId="0" fontId="4" fillId="0" borderId="0" xfId="0" applyFont="1" applyAlignment="1">
      <alignment horizontal="right" vertical="center"/>
    </xf>
    <xf numFmtId="165" fontId="4" fillId="0" borderId="0" xfId="0" applyNumberFormat="1" applyFont="1" applyAlignment="1">
      <alignment horizontal="center"/>
    </xf>
    <xf numFmtId="0" fontId="4" fillId="0" borderId="0" xfId="0" applyFont="1" applyAlignment="1">
      <alignment horizontal="center"/>
    </xf>
    <xf numFmtId="9" fontId="4" fillId="0" borderId="0" xfId="0" applyNumberFormat="1" applyFont="1" applyAlignment="1">
      <alignment horizontal="center"/>
    </xf>
    <xf numFmtId="192" fontId="4" fillId="0" borderId="0" xfId="0" applyNumberFormat="1" applyFont="1" applyAlignment="1">
      <alignment horizontal="center"/>
    </xf>
    <xf numFmtId="175" fontId="4" fillId="0" borderId="0" xfId="0" applyNumberFormat="1" applyFont="1" applyAlignment="1">
      <alignment horizontal="center"/>
    </xf>
    <xf numFmtId="0" fontId="4" fillId="0" borderId="0" xfId="0" quotePrefix="1" applyFont="1"/>
    <xf numFmtId="0" fontId="4" fillId="8" borderId="2" xfId="0" applyFont="1" applyFill="1" applyBorder="1" applyAlignment="1">
      <alignment vertical="center"/>
    </xf>
    <xf numFmtId="0" fontId="4" fillId="8" borderId="3" xfId="0" applyFont="1" applyFill="1" applyBorder="1" applyAlignment="1">
      <alignment vertical="center"/>
    </xf>
    <xf numFmtId="1" fontId="4" fillId="0" borderId="0" xfId="0" applyNumberFormat="1" applyFont="1"/>
    <xf numFmtId="0" fontId="4" fillId="6" borderId="0" xfId="0" applyFont="1" applyFill="1"/>
    <xf numFmtId="181" fontId="4" fillId="0" borderId="0" xfId="0" applyNumberFormat="1" applyFont="1"/>
    <xf numFmtId="2" fontId="4" fillId="0" borderId="0" xfId="0" applyNumberFormat="1" applyFont="1"/>
    <xf numFmtId="0" fontId="4" fillId="0" borderId="0" xfId="0" applyFont="1" applyAlignment="1">
      <alignment horizontal="left"/>
    </xf>
    <xf numFmtId="0" fontId="4" fillId="8" borderId="5" xfId="0" applyFont="1" applyFill="1" applyBorder="1" applyAlignment="1">
      <alignment horizontal="left"/>
    </xf>
    <xf numFmtId="0" fontId="4" fillId="8" borderId="7" xfId="0" applyFont="1" applyFill="1" applyBorder="1" applyAlignment="1">
      <alignment horizontal="left"/>
    </xf>
    <xf numFmtId="0" fontId="4" fillId="8" borderId="9" xfId="0" applyFont="1" applyFill="1" applyBorder="1" applyAlignment="1">
      <alignment horizontal="left"/>
    </xf>
    <xf numFmtId="0" fontId="4" fillId="0" borderId="0" xfId="0" applyFont="1" applyAlignment="1">
      <alignment horizontal="left" vertical="top"/>
    </xf>
    <xf numFmtId="0" fontId="4" fillId="0" borderId="1" xfId="0" applyFont="1" applyBorder="1" applyAlignment="1">
      <alignment horizontal="left"/>
    </xf>
    <xf numFmtId="0" fontId="4" fillId="0" borderId="1" xfId="0" applyFont="1" applyBorder="1"/>
    <xf numFmtId="179" fontId="4" fillId="0" borderId="0" xfId="0" applyNumberFormat="1" applyFont="1"/>
    <xf numFmtId="177" fontId="4" fillId="0" borderId="0" xfId="0" applyNumberFormat="1" applyFont="1"/>
    <xf numFmtId="171" fontId="4" fillId="0" borderId="0" xfId="0" applyNumberFormat="1" applyFont="1"/>
    <xf numFmtId="167" fontId="4" fillId="0" borderId="0" xfId="0" applyNumberFormat="1" applyFont="1"/>
    <xf numFmtId="182" fontId="4" fillId="0" borderId="0" xfId="0" applyNumberFormat="1" applyFont="1"/>
    <xf numFmtId="192" fontId="4" fillId="0" borderId="0" xfId="0" applyNumberFormat="1" applyFont="1"/>
    <xf numFmtId="169" fontId="4" fillId="0" borderId="0" xfId="0" applyNumberFormat="1" applyFont="1"/>
    <xf numFmtId="170" fontId="4" fillId="0" borderId="0" xfId="0" applyNumberFormat="1" applyFont="1"/>
    <xf numFmtId="1" fontId="4" fillId="0" borderId="0" xfId="0" applyNumberFormat="1" applyFont="1" applyAlignment="1">
      <alignment horizontal="right"/>
    </xf>
    <xf numFmtId="177" fontId="4" fillId="0" borderId="1" xfId="0" applyNumberFormat="1" applyFont="1" applyBorder="1"/>
    <xf numFmtId="178" fontId="4" fillId="0" borderId="0" xfId="0" applyNumberFormat="1" applyFont="1"/>
    <xf numFmtId="178" fontId="4" fillId="0" borderId="0" xfId="0" applyNumberFormat="1" applyFont="1" applyAlignment="1">
      <alignment horizontal="right"/>
    </xf>
    <xf numFmtId="164" fontId="4" fillId="0" borderId="0" xfId="0" applyNumberFormat="1" applyFont="1"/>
    <xf numFmtId="0" fontId="4" fillId="3" borderId="0" xfId="0" applyFont="1" applyFill="1" applyAlignment="1">
      <alignment horizontal="left"/>
    </xf>
    <xf numFmtId="185" fontId="4" fillId="0" borderId="0" xfId="0" applyNumberFormat="1" applyFont="1"/>
    <xf numFmtId="0" fontId="4" fillId="0" borderId="2" xfId="0" applyFont="1" applyBorder="1"/>
    <xf numFmtId="10" fontId="4" fillId="0" borderId="0" xfId="0" applyNumberFormat="1" applyFont="1"/>
    <xf numFmtId="172" fontId="4" fillId="0" borderId="0" xfId="0" applyNumberFormat="1" applyFont="1"/>
    <xf numFmtId="190" fontId="4" fillId="0" borderId="0" xfId="0" applyNumberFormat="1" applyFont="1"/>
    <xf numFmtId="172" fontId="4" fillId="0" borderId="0" xfId="9" applyNumberFormat="1" applyFont="1" applyFill="1" applyAlignment="1" applyProtection="1"/>
    <xf numFmtId="172" fontId="4" fillId="0" borderId="0" xfId="9" applyNumberFormat="1" applyFont="1" applyFill="1" applyBorder="1" applyAlignment="1"/>
    <xf numFmtId="172" fontId="4" fillId="0" borderId="0" xfId="9" applyNumberFormat="1" applyFont="1" applyProtection="1"/>
    <xf numFmtId="172" fontId="4" fillId="0" borderId="0" xfId="9" applyNumberFormat="1" applyFont="1" applyBorder="1"/>
    <xf numFmtId="9" fontId="4" fillId="0" borderId="0" xfId="1" applyFont="1" applyFill="1" applyAlignment="1" applyProtection="1"/>
    <xf numFmtId="9" fontId="4" fillId="0" borderId="0" xfId="1" applyFont="1" applyFill="1" applyBorder="1" applyAlignment="1"/>
    <xf numFmtId="172" fontId="4" fillId="0" borderId="0" xfId="9" applyNumberFormat="1" applyFont="1" applyAlignment="1" applyProtection="1"/>
    <xf numFmtId="172" fontId="4" fillId="0" borderId="0" xfId="9" applyNumberFormat="1" applyFont="1" applyBorder="1" applyAlignment="1"/>
    <xf numFmtId="172" fontId="4" fillId="0" borderId="0" xfId="0" applyNumberFormat="1" applyFont="1" applyAlignment="1">
      <alignment horizontal="right"/>
    </xf>
    <xf numFmtId="9" fontId="4" fillId="0" borderId="0" xfId="1" applyFont="1" applyFill="1" applyBorder="1" applyAlignment="1" applyProtection="1"/>
    <xf numFmtId="172" fontId="4" fillId="0" borderId="0" xfId="9" applyNumberFormat="1" applyFont="1" applyBorder="1" applyAlignment="1" applyProtection="1"/>
    <xf numFmtId="0" fontId="4" fillId="18" borderId="0" xfId="0" applyFont="1" applyFill="1" applyAlignment="1">
      <alignment horizontal="left"/>
    </xf>
    <xf numFmtId="0" fontId="4" fillId="18" borderId="0" xfId="0" applyFont="1" applyFill="1"/>
    <xf numFmtId="177" fontId="4" fillId="0" borderId="0" xfId="0" applyNumberFormat="1" applyFont="1" applyAlignment="1">
      <alignment horizontal="right"/>
    </xf>
    <xf numFmtId="0" fontId="4" fillId="0" borderId="0" xfId="0" applyFont="1" applyAlignment="1">
      <alignment horizontal="left" vertical="center"/>
    </xf>
    <xf numFmtId="194" fontId="4" fillId="0" borderId="0" xfId="0" applyNumberFormat="1" applyFont="1" applyAlignment="1">
      <alignment vertical="center"/>
    </xf>
    <xf numFmtId="166" fontId="21" fillId="12" borderId="10" xfId="7" applyNumberFormat="1" applyAlignment="1">
      <alignment horizontal="right" vertical="center"/>
    </xf>
    <xf numFmtId="1" fontId="21" fillId="12" borderId="10" xfId="7" applyNumberFormat="1" applyAlignment="1">
      <alignment horizontal="right" vertical="center"/>
    </xf>
    <xf numFmtId="187" fontId="21" fillId="12" borderId="10" xfId="7" applyNumberFormat="1" applyAlignment="1">
      <alignment horizontal="right" vertical="center"/>
    </xf>
    <xf numFmtId="175" fontId="21" fillId="12" borderId="10" xfId="7" applyNumberFormat="1" applyAlignment="1">
      <alignment horizontal="right" vertical="center"/>
    </xf>
    <xf numFmtId="0" fontId="4" fillId="8" borderId="0" xfId="0" applyFont="1" applyFill="1" applyAlignment="1">
      <alignment vertical="center"/>
    </xf>
    <xf numFmtId="0" fontId="25" fillId="20" borderId="10" xfId="7" applyFont="1" applyFill="1"/>
    <xf numFmtId="0" fontId="25" fillId="20" borderId="10" xfId="7" applyFont="1" applyFill="1" applyAlignment="1">
      <alignment horizontal="right"/>
    </xf>
    <xf numFmtId="168" fontId="25" fillId="20" borderId="10" xfId="7" applyNumberFormat="1" applyFont="1" applyFill="1"/>
    <xf numFmtId="201" fontId="25" fillId="20" borderId="10" xfId="7" applyNumberFormat="1" applyFont="1" applyFill="1"/>
    <xf numFmtId="174" fontId="25" fillId="20" borderId="10" xfId="7" applyNumberFormat="1" applyFont="1" applyFill="1"/>
    <xf numFmtId="184" fontId="25" fillId="20" borderId="10" xfId="7" applyNumberFormat="1" applyFont="1" applyFill="1"/>
    <xf numFmtId="187" fontId="25" fillId="20" borderId="10" xfId="7" applyNumberFormat="1" applyFont="1" applyFill="1"/>
    <xf numFmtId="0" fontId="3" fillId="0" borderId="0" xfId="0" applyFont="1" applyAlignment="1">
      <alignment horizontal="right"/>
    </xf>
    <xf numFmtId="179" fontId="25" fillId="20" borderId="10" xfId="7" applyNumberFormat="1" applyFont="1" applyFill="1"/>
    <xf numFmtId="186" fontId="25" fillId="20" borderId="10" xfId="7" applyNumberFormat="1" applyFont="1" applyFill="1"/>
    <xf numFmtId="185" fontId="25" fillId="20" borderId="10" xfId="7" applyNumberFormat="1" applyFont="1" applyFill="1"/>
    <xf numFmtId="173" fontId="21" fillId="20" borderId="10" xfId="7" applyNumberFormat="1" applyFill="1"/>
    <xf numFmtId="9" fontId="4" fillId="0" borderId="0" xfId="0" applyNumberFormat="1" applyFont="1" applyAlignment="1">
      <alignment horizontal="right"/>
    </xf>
    <xf numFmtId="192" fontId="21" fillId="20" borderId="10" xfId="7" applyNumberFormat="1" applyFill="1" applyAlignment="1">
      <alignment horizontal="right" vertical="center"/>
    </xf>
    <xf numFmtId="175" fontId="21" fillId="20" borderId="10" xfId="7" applyNumberFormat="1" applyFill="1" applyAlignment="1">
      <alignment horizontal="right" vertical="center"/>
    </xf>
    <xf numFmtId="1" fontId="21" fillId="20" borderId="10" xfId="7" applyNumberFormat="1" applyFill="1" applyAlignment="1">
      <alignment horizontal="right" vertical="center"/>
    </xf>
    <xf numFmtId="165" fontId="21" fillId="20" borderId="10" xfId="7" applyNumberFormat="1" applyFill="1" applyAlignment="1">
      <alignment horizontal="right" vertical="center"/>
    </xf>
    <xf numFmtId="9" fontId="21" fillId="20" borderId="10" xfId="7" applyNumberFormat="1" applyFill="1" applyAlignment="1">
      <alignment horizontal="right" vertical="center"/>
    </xf>
    <xf numFmtId="166" fontId="21" fillId="20" borderId="10" xfId="7" applyNumberFormat="1" applyFill="1" applyAlignment="1">
      <alignment horizontal="right" vertical="center"/>
    </xf>
    <xf numFmtId="199" fontId="21" fillId="20" borderId="10" xfId="7" applyNumberFormat="1" applyFill="1"/>
    <xf numFmtId="0" fontId="4" fillId="0" borderId="0" xfId="0" applyFont="1" applyAlignment="1">
      <alignment horizontal="left" vertical="center" wrapText="1"/>
    </xf>
    <xf numFmtId="0" fontId="16" fillId="0" borderId="0" xfId="3" applyNumberForma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5" fillId="0" borderId="0" xfId="3" applyNumberFormat="1" applyFont="1" applyAlignment="1">
      <alignment horizontal="left" vertical="center" wrapText="1"/>
    </xf>
    <xf numFmtId="0" fontId="23" fillId="10" borderId="0" xfId="0" applyFont="1" applyFill="1" applyAlignment="1">
      <alignment horizontal="center"/>
    </xf>
  </cellXfs>
  <cellStyles count="24">
    <cellStyle name="60% - Accent2 2" xfId="16" xr:uid="{09314AFB-548D-44BE-BC92-E81E7441FFC2}"/>
    <cellStyle name="60% - Accent4 2" xfId="17" xr:uid="{36D9B30F-BC7D-4AEB-BAC5-D1E00E6A6998}"/>
    <cellStyle name="60% - Accent5 2" xfId="18" xr:uid="{521E0E9C-932F-49F1-AAED-726A691216A4}"/>
    <cellStyle name="60% - Accent6 2" xfId="19" xr:uid="{F8DCEC56-0EDE-45CC-9280-735815111AB8}"/>
    <cellStyle name="Currency" xfId="9" builtinId="4"/>
    <cellStyle name="Good" xfId="2" builtinId="26"/>
    <cellStyle name="Hyperlink" xfId="12" builtinId="8"/>
    <cellStyle name="Input" xfId="7" builtinId="20"/>
    <cellStyle name="Komma 2" xfId="10" xr:uid="{496E09DB-37CB-4B1D-8FA6-0B685A3E1991}"/>
    <cellStyle name="Komma 3" xfId="22" xr:uid="{5911016D-9B4C-4E47-938E-6C268674EF01}"/>
    <cellStyle name="Normal" xfId="0" builtinId="0"/>
    <cellStyle name="Percent" xfId="1" builtinId="5"/>
    <cellStyle name="Procent 2" xfId="5" xr:uid="{B123079E-353D-449E-922A-C00328A83341}"/>
    <cellStyle name="Procent 5 2" xfId="6" xr:uid="{444E186D-0B50-4414-9F19-76653AC9F6C2}"/>
    <cellStyle name="Standaard 2" xfId="3" xr:uid="{59DAEE10-ED82-46EF-B906-C61E23E5F6D8}"/>
    <cellStyle name="Standaard 3" xfId="8" xr:uid="{08E8CEC2-410B-479C-84AB-B6A4507B7F64}"/>
    <cellStyle name="Standaard 3 2" xfId="14" xr:uid="{715E0376-86FF-47B0-9ABE-09DA36312D98}"/>
    <cellStyle name="Standaard 4" xfId="11" xr:uid="{FE75FD21-17E2-4A6B-956F-90C79D712ED6}"/>
    <cellStyle name="Standaard 4 2" xfId="20" xr:uid="{A47013C1-C0DA-49FF-9877-ECE2EF0840FC}"/>
    <cellStyle name="Standaard 5" xfId="13" xr:uid="{A2699BDE-AC95-489D-9AB5-32F390992FAA}"/>
    <cellStyle name="Standaard 5 2" xfId="21" xr:uid="{62545F99-F6BA-43F2-AB5E-78762BB2606A}"/>
    <cellStyle name="Standaard 6" xfId="23" xr:uid="{6B1052F8-CDDF-4484-B19B-A2A85D6C37C6}"/>
    <cellStyle name="Valuta 2" xfId="15" xr:uid="{F8F432F0-7959-425B-B106-5F8B03FDD070}"/>
    <cellStyle name="Valuta 2 2" xfId="4" xr:uid="{A6C1A8A7-8B01-4600-99B4-115BBFA63E89}"/>
  </cellStyles>
  <dxfs count="0"/>
  <tableStyles count="0" defaultTableStyle="TableStyleMedium2" defaultPivotStyle="PivotStyleLight16"/>
  <colors>
    <mruColors>
      <color rgb="FFBC8FDD"/>
      <color rgb="FFFF3300"/>
      <color rgb="FFFF9B9B"/>
      <color rgb="FF4FFF9F"/>
      <color rgb="FFFF0000"/>
      <color rgb="FF0000FF"/>
      <color rgb="FFFFFF99"/>
      <color rgb="FFA3FFCD"/>
      <color rgb="FFFFF2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emf"/><Relationship Id="rId7" Type="http://schemas.openxmlformats.org/officeDocument/2006/relationships/image" Target="../media/image8.png"/><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png"/><Relationship Id="rId11" Type="http://schemas.openxmlformats.org/officeDocument/2006/relationships/image" Target="../media/image1.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emf"/><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6073590</xdr:colOff>
      <xdr:row>1</xdr:row>
      <xdr:rowOff>43715</xdr:rowOff>
    </xdr:from>
    <xdr:to>
      <xdr:col>3</xdr:col>
      <xdr:colOff>1557618</xdr:colOff>
      <xdr:row>3</xdr:row>
      <xdr:rowOff>149864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572502" y="234215"/>
          <a:ext cx="2297204" cy="509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1606924</xdr:colOff>
      <xdr:row>5</xdr:row>
      <xdr:rowOff>50987</xdr:rowOff>
    </xdr:from>
    <xdr:to>
      <xdr:col>11</xdr:col>
      <xdr:colOff>15128</xdr:colOff>
      <xdr:row>20</xdr:row>
      <xdr:rowOff>4482</xdr:rowOff>
    </xdr:to>
    <xdr:grpSp>
      <xdr:nvGrpSpPr>
        <xdr:cNvPr id="1027" name="Group 3">
          <a:extLst>
            <a:ext uri="{FF2B5EF4-FFF2-40B4-BE49-F238E27FC236}">
              <a16:creationId xmlns:a16="http://schemas.microsoft.com/office/drawing/2014/main" id="{00000000-0008-0000-0100-000003040000}"/>
            </a:ext>
          </a:extLst>
        </xdr:cNvPr>
        <xdr:cNvGrpSpPr>
          <a:grpSpLocks noChangeAspect="1"/>
        </xdr:cNvGrpSpPr>
      </xdr:nvGrpSpPr>
      <xdr:grpSpPr bwMode="auto">
        <a:xfrm>
          <a:off x="1943100" y="1160369"/>
          <a:ext cx="8829675" cy="3819525"/>
          <a:chOff x="204" y="123"/>
          <a:chExt cx="927" cy="401"/>
        </a:xfrm>
      </xdr:grpSpPr>
      <xdr:sp macro="" textlink="">
        <xdr:nvSpPr>
          <xdr:cNvPr id="1026" name="AutoShape 2">
            <a:extLst>
              <a:ext uri="{FF2B5EF4-FFF2-40B4-BE49-F238E27FC236}">
                <a16:creationId xmlns:a16="http://schemas.microsoft.com/office/drawing/2014/main" id="{00000000-0008-0000-0100-000002040000}"/>
              </a:ext>
            </a:extLst>
          </xdr:cNvPr>
          <xdr:cNvSpPr>
            <a:spLocks noChangeAspect="1" noChangeArrowheads="1" noTextEdit="1"/>
          </xdr:cNvSpPr>
        </xdr:nvSpPr>
        <xdr:spPr bwMode="auto">
          <a:xfrm>
            <a:off x="204" y="123"/>
            <a:ext cx="926" cy="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1228" name="Group 204">
            <a:extLst>
              <a:ext uri="{FF2B5EF4-FFF2-40B4-BE49-F238E27FC236}">
                <a16:creationId xmlns:a16="http://schemas.microsoft.com/office/drawing/2014/main" id="{00000000-0008-0000-0100-0000CC040000}"/>
              </a:ext>
            </a:extLst>
          </xdr:cNvPr>
          <xdr:cNvGrpSpPr>
            <a:grpSpLocks/>
          </xdr:cNvGrpSpPr>
        </xdr:nvGrpSpPr>
        <xdr:grpSpPr bwMode="auto">
          <a:xfrm>
            <a:off x="204" y="123"/>
            <a:ext cx="927" cy="401"/>
            <a:chOff x="204" y="123"/>
            <a:chExt cx="927" cy="401"/>
          </a:xfrm>
        </xdr:grpSpPr>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204" y="123"/>
              <a:ext cx="926" cy="156"/>
            </a:xfrm>
            <a:prstGeom prst="rect">
              <a:avLst/>
            </a:prstGeom>
            <a:solidFill>
              <a:srgbClr val="EFF9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204" y="278"/>
              <a:ext cx="926" cy="245"/>
            </a:xfrm>
            <a:prstGeom prst="rect">
              <a:avLst/>
            </a:prstGeom>
            <a:solidFill>
              <a:srgbClr val="FFE6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0" name="Rectangle 6">
              <a:extLst>
                <a:ext uri="{FF2B5EF4-FFF2-40B4-BE49-F238E27FC236}">
                  <a16:creationId xmlns:a16="http://schemas.microsoft.com/office/drawing/2014/main" id="{00000000-0008-0000-0100-000006040000}"/>
                </a:ext>
              </a:extLst>
            </xdr:cNvPr>
            <xdr:cNvSpPr>
              <a:spLocks noChangeArrowheads="1"/>
            </xdr:cNvSpPr>
          </xdr:nvSpPr>
          <xdr:spPr bwMode="auto">
            <a:xfrm>
              <a:off x="204"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1" name="Rectangle 7">
              <a:extLst>
                <a:ext uri="{FF2B5EF4-FFF2-40B4-BE49-F238E27FC236}">
                  <a16:creationId xmlns:a16="http://schemas.microsoft.com/office/drawing/2014/main" id="{00000000-0008-0000-0100-000007040000}"/>
                </a:ext>
              </a:extLst>
            </xdr:cNvPr>
            <xdr:cNvSpPr>
              <a:spLocks noChangeArrowheads="1"/>
            </xdr:cNvSpPr>
          </xdr:nvSpPr>
          <xdr:spPr bwMode="auto">
            <a:xfrm>
              <a:off x="226"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2" name="Rectangle 8">
              <a:extLst>
                <a:ext uri="{FF2B5EF4-FFF2-40B4-BE49-F238E27FC236}">
                  <a16:creationId xmlns:a16="http://schemas.microsoft.com/office/drawing/2014/main" id="{00000000-0008-0000-0100-000008040000}"/>
                </a:ext>
              </a:extLst>
            </xdr:cNvPr>
            <xdr:cNvSpPr>
              <a:spLocks noChangeArrowheads="1"/>
            </xdr:cNvSpPr>
          </xdr:nvSpPr>
          <xdr:spPr bwMode="auto">
            <a:xfrm>
              <a:off x="248"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3" name="Rectangle 9">
              <a:extLst>
                <a:ext uri="{FF2B5EF4-FFF2-40B4-BE49-F238E27FC236}">
                  <a16:creationId xmlns:a16="http://schemas.microsoft.com/office/drawing/2014/main" id="{00000000-0008-0000-0100-000009040000}"/>
                </a:ext>
              </a:extLst>
            </xdr:cNvPr>
            <xdr:cNvSpPr>
              <a:spLocks noChangeArrowheads="1"/>
            </xdr:cNvSpPr>
          </xdr:nvSpPr>
          <xdr:spPr bwMode="auto">
            <a:xfrm>
              <a:off x="270"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4" name="Rectangle 10">
              <a:extLst>
                <a:ext uri="{FF2B5EF4-FFF2-40B4-BE49-F238E27FC236}">
                  <a16:creationId xmlns:a16="http://schemas.microsoft.com/office/drawing/2014/main" id="{00000000-0008-0000-0100-00000A040000}"/>
                </a:ext>
              </a:extLst>
            </xdr:cNvPr>
            <xdr:cNvSpPr>
              <a:spLocks noChangeArrowheads="1"/>
            </xdr:cNvSpPr>
          </xdr:nvSpPr>
          <xdr:spPr bwMode="auto">
            <a:xfrm>
              <a:off x="292"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a:extLst>
                <a:ext uri="{FF2B5EF4-FFF2-40B4-BE49-F238E27FC236}">
                  <a16:creationId xmlns:a16="http://schemas.microsoft.com/office/drawing/2014/main" id="{00000000-0008-0000-0100-00000B040000}"/>
                </a:ext>
              </a:extLst>
            </xdr:cNvPr>
            <xdr:cNvSpPr>
              <a:spLocks noChangeArrowheads="1"/>
            </xdr:cNvSpPr>
          </xdr:nvSpPr>
          <xdr:spPr bwMode="auto">
            <a:xfrm>
              <a:off x="314"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6" name="Rectangle 12">
              <a:extLst>
                <a:ext uri="{FF2B5EF4-FFF2-40B4-BE49-F238E27FC236}">
                  <a16:creationId xmlns:a16="http://schemas.microsoft.com/office/drawing/2014/main" id="{00000000-0008-0000-0100-00000C040000}"/>
                </a:ext>
              </a:extLst>
            </xdr:cNvPr>
            <xdr:cNvSpPr>
              <a:spLocks noChangeArrowheads="1"/>
            </xdr:cNvSpPr>
          </xdr:nvSpPr>
          <xdr:spPr bwMode="auto">
            <a:xfrm>
              <a:off x="336"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7" name="Rectangle 13">
              <a:extLst>
                <a:ext uri="{FF2B5EF4-FFF2-40B4-BE49-F238E27FC236}">
                  <a16:creationId xmlns:a16="http://schemas.microsoft.com/office/drawing/2014/main" id="{00000000-0008-0000-0100-00000D040000}"/>
                </a:ext>
              </a:extLst>
            </xdr:cNvPr>
            <xdr:cNvSpPr>
              <a:spLocks noChangeArrowheads="1"/>
            </xdr:cNvSpPr>
          </xdr:nvSpPr>
          <xdr:spPr bwMode="auto">
            <a:xfrm>
              <a:off x="358"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8" name="Rectangle 14">
              <a:extLst>
                <a:ext uri="{FF2B5EF4-FFF2-40B4-BE49-F238E27FC236}">
                  <a16:creationId xmlns:a16="http://schemas.microsoft.com/office/drawing/2014/main" id="{00000000-0008-0000-0100-00000E040000}"/>
                </a:ext>
              </a:extLst>
            </xdr:cNvPr>
            <xdr:cNvSpPr>
              <a:spLocks noChangeArrowheads="1"/>
            </xdr:cNvSpPr>
          </xdr:nvSpPr>
          <xdr:spPr bwMode="auto">
            <a:xfrm>
              <a:off x="380"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9" name="Rectangle 15">
              <a:extLst>
                <a:ext uri="{FF2B5EF4-FFF2-40B4-BE49-F238E27FC236}">
                  <a16:creationId xmlns:a16="http://schemas.microsoft.com/office/drawing/2014/main" id="{00000000-0008-0000-0100-00000F040000}"/>
                </a:ext>
              </a:extLst>
            </xdr:cNvPr>
            <xdr:cNvSpPr>
              <a:spLocks noChangeArrowheads="1"/>
            </xdr:cNvSpPr>
          </xdr:nvSpPr>
          <xdr:spPr bwMode="auto">
            <a:xfrm>
              <a:off x="402"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0" name="Rectangle 16">
              <a:extLst>
                <a:ext uri="{FF2B5EF4-FFF2-40B4-BE49-F238E27FC236}">
                  <a16:creationId xmlns:a16="http://schemas.microsoft.com/office/drawing/2014/main" id="{00000000-0008-0000-0100-000010040000}"/>
                </a:ext>
              </a:extLst>
            </xdr:cNvPr>
            <xdr:cNvSpPr>
              <a:spLocks noChangeArrowheads="1"/>
            </xdr:cNvSpPr>
          </xdr:nvSpPr>
          <xdr:spPr bwMode="auto">
            <a:xfrm>
              <a:off x="424"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1" name="Rectangle 17">
              <a:extLst>
                <a:ext uri="{FF2B5EF4-FFF2-40B4-BE49-F238E27FC236}">
                  <a16:creationId xmlns:a16="http://schemas.microsoft.com/office/drawing/2014/main" id="{00000000-0008-0000-0100-000011040000}"/>
                </a:ext>
              </a:extLst>
            </xdr:cNvPr>
            <xdr:cNvSpPr>
              <a:spLocks noChangeArrowheads="1"/>
            </xdr:cNvSpPr>
          </xdr:nvSpPr>
          <xdr:spPr bwMode="auto">
            <a:xfrm>
              <a:off x="446"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2" name="Rectangle 18">
              <a:extLst>
                <a:ext uri="{FF2B5EF4-FFF2-40B4-BE49-F238E27FC236}">
                  <a16:creationId xmlns:a16="http://schemas.microsoft.com/office/drawing/2014/main" id="{00000000-0008-0000-0100-000012040000}"/>
                </a:ext>
              </a:extLst>
            </xdr:cNvPr>
            <xdr:cNvSpPr>
              <a:spLocks noChangeArrowheads="1"/>
            </xdr:cNvSpPr>
          </xdr:nvSpPr>
          <xdr:spPr bwMode="auto">
            <a:xfrm>
              <a:off x="468"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3" name="Rectangle 19">
              <a:extLst>
                <a:ext uri="{FF2B5EF4-FFF2-40B4-BE49-F238E27FC236}">
                  <a16:creationId xmlns:a16="http://schemas.microsoft.com/office/drawing/2014/main" id="{00000000-0008-0000-0100-000013040000}"/>
                </a:ext>
              </a:extLst>
            </xdr:cNvPr>
            <xdr:cNvSpPr>
              <a:spLocks noChangeArrowheads="1"/>
            </xdr:cNvSpPr>
          </xdr:nvSpPr>
          <xdr:spPr bwMode="auto">
            <a:xfrm>
              <a:off x="490"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4" name="Rectangle 20">
              <a:extLst>
                <a:ext uri="{FF2B5EF4-FFF2-40B4-BE49-F238E27FC236}">
                  <a16:creationId xmlns:a16="http://schemas.microsoft.com/office/drawing/2014/main" id="{00000000-0008-0000-0100-000014040000}"/>
                </a:ext>
              </a:extLst>
            </xdr:cNvPr>
            <xdr:cNvSpPr>
              <a:spLocks noChangeArrowheads="1"/>
            </xdr:cNvSpPr>
          </xdr:nvSpPr>
          <xdr:spPr bwMode="auto">
            <a:xfrm>
              <a:off x="513"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5" name="Rectangle 21">
              <a:extLst>
                <a:ext uri="{FF2B5EF4-FFF2-40B4-BE49-F238E27FC236}">
                  <a16:creationId xmlns:a16="http://schemas.microsoft.com/office/drawing/2014/main" id="{00000000-0008-0000-0100-000015040000}"/>
                </a:ext>
              </a:extLst>
            </xdr:cNvPr>
            <xdr:cNvSpPr>
              <a:spLocks noChangeArrowheads="1"/>
            </xdr:cNvSpPr>
          </xdr:nvSpPr>
          <xdr:spPr bwMode="auto">
            <a:xfrm>
              <a:off x="535"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Rectangle 22">
              <a:extLst>
                <a:ext uri="{FF2B5EF4-FFF2-40B4-BE49-F238E27FC236}">
                  <a16:creationId xmlns:a16="http://schemas.microsoft.com/office/drawing/2014/main" id="{00000000-0008-0000-0100-000016040000}"/>
                </a:ext>
              </a:extLst>
            </xdr:cNvPr>
            <xdr:cNvSpPr>
              <a:spLocks noChangeArrowheads="1"/>
            </xdr:cNvSpPr>
          </xdr:nvSpPr>
          <xdr:spPr bwMode="auto">
            <a:xfrm>
              <a:off x="557"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Rectangle 23">
              <a:extLst>
                <a:ext uri="{FF2B5EF4-FFF2-40B4-BE49-F238E27FC236}">
                  <a16:creationId xmlns:a16="http://schemas.microsoft.com/office/drawing/2014/main" id="{00000000-0008-0000-0100-000017040000}"/>
                </a:ext>
              </a:extLst>
            </xdr:cNvPr>
            <xdr:cNvSpPr>
              <a:spLocks noChangeArrowheads="1"/>
            </xdr:cNvSpPr>
          </xdr:nvSpPr>
          <xdr:spPr bwMode="auto">
            <a:xfrm>
              <a:off x="579"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Rectangle 24">
              <a:extLst>
                <a:ext uri="{FF2B5EF4-FFF2-40B4-BE49-F238E27FC236}">
                  <a16:creationId xmlns:a16="http://schemas.microsoft.com/office/drawing/2014/main" id="{00000000-0008-0000-0100-000018040000}"/>
                </a:ext>
              </a:extLst>
            </xdr:cNvPr>
            <xdr:cNvSpPr>
              <a:spLocks noChangeArrowheads="1"/>
            </xdr:cNvSpPr>
          </xdr:nvSpPr>
          <xdr:spPr bwMode="auto">
            <a:xfrm>
              <a:off x="601"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Rectangle 25">
              <a:extLst>
                <a:ext uri="{FF2B5EF4-FFF2-40B4-BE49-F238E27FC236}">
                  <a16:creationId xmlns:a16="http://schemas.microsoft.com/office/drawing/2014/main" id="{00000000-0008-0000-0100-000019040000}"/>
                </a:ext>
              </a:extLst>
            </xdr:cNvPr>
            <xdr:cNvSpPr>
              <a:spLocks noChangeArrowheads="1"/>
            </xdr:cNvSpPr>
          </xdr:nvSpPr>
          <xdr:spPr bwMode="auto">
            <a:xfrm>
              <a:off x="623"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Rectangle 26">
              <a:extLst>
                <a:ext uri="{FF2B5EF4-FFF2-40B4-BE49-F238E27FC236}">
                  <a16:creationId xmlns:a16="http://schemas.microsoft.com/office/drawing/2014/main" id="{00000000-0008-0000-0100-00001A040000}"/>
                </a:ext>
              </a:extLst>
            </xdr:cNvPr>
            <xdr:cNvSpPr>
              <a:spLocks noChangeArrowheads="1"/>
            </xdr:cNvSpPr>
          </xdr:nvSpPr>
          <xdr:spPr bwMode="auto">
            <a:xfrm>
              <a:off x="645"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Rectangle 27">
              <a:extLst>
                <a:ext uri="{FF2B5EF4-FFF2-40B4-BE49-F238E27FC236}">
                  <a16:creationId xmlns:a16="http://schemas.microsoft.com/office/drawing/2014/main" id="{00000000-0008-0000-0100-00001B040000}"/>
                </a:ext>
              </a:extLst>
            </xdr:cNvPr>
            <xdr:cNvSpPr>
              <a:spLocks noChangeArrowheads="1"/>
            </xdr:cNvSpPr>
          </xdr:nvSpPr>
          <xdr:spPr bwMode="auto">
            <a:xfrm>
              <a:off x="667"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Rectangle 28">
              <a:extLst>
                <a:ext uri="{FF2B5EF4-FFF2-40B4-BE49-F238E27FC236}">
                  <a16:creationId xmlns:a16="http://schemas.microsoft.com/office/drawing/2014/main" id="{00000000-0008-0000-0100-00001C040000}"/>
                </a:ext>
              </a:extLst>
            </xdr:cNvPr>
            <xdr:cNvSpPr>
              <a:spLocks noChangeArrowheads="1"/>
            </xdr:cNvSpPr>
          </xdr:nvSpPr>
          <xdr:spPr bwMode="auto">
            <a:xfrm>
              <a:off x="689"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Rectangle 29">
              <a:extLst>
                <a:ext uri="{FF2B5EF4-FFF2-40B4-BE49-F238E27FC236}">
                  <a16:creationId xmlns:a16="http://schemas.microsoft.com/office/drawing/2014/main" id="{00000000-0008-0000-0100-00001D040000}"/>
                </a:ext>
              </a:extLst>
            </xdr:cNvPr>
            <xdr:cNvSpPr>
              <a:spLocks noChangeArrowheads="1"/>
            </xdr:cNvSpPr>
          </xdr:nvSpPr>
          <xdr:spPr bwMode="auto">
            <a:xfrm>
              <a:off x="711"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Rectangle 30">
              <a:extLst>
                <a:ext uri="{FF2B5EF4-FFF2-40B4-BE49-F238E27FC236}">
                  <a16:creationId xmlns:a16="http://schemas.microsoft.com/office/drawing/2014/main" id="{00000000-0008-0000-0100-00001E040000}"/>
                </a:ext>
              </a:extLst>
            </xdr:cNvPr>
            <xdr:cNvSpPr>
              <a:spLocks noChangeArrowheads="1"/>
            </xdr:cNvSpPr>
          </xdr:nvSpPr>
          <xdr:spPr bwMode="auto">
            <a:xfrm>
              <a:off x="733"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Rectangle 31">
              <a:extLst>
                <a:ext uri="{FF2B5EF4-FFF2-40B4-BE49-F238E27FC236}">
                  <a16:creationId xmlns:a16="http://schemas.microsoft.com/office/drawing/2014/main" id="{00000000-0008-0000-0100-00001F040000}"/>
                </a:ext>
              </a:extLst>
            </xdr:cNvPr>
            <xdr:cNvSpPr>
              <a:spLocks noChangeArrowheads="1"/>
            </xdr:cNvSpPr>
          </xdr:nvSpPr>
          <xdr:spPr bwMode="auto">
            <a:xfrm>
              <a:off x="755"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Rectangle 32">
              <a:extLst>
                <a:ext uri="{FF2B5EF4-FFF2-40B4-BE49-F238E27FC236}">
                  <a16:creationId xmlns:a16="http://schemas.microsoft.com/office/drawing/2014/main" id="{00000000-0008-0000-0100-000020040000}"/>
                </a:ext>
              </a:extLst>
            </xdr:cNvPr>
            <xdr:cNvSpPr>
              <a:spLocks noChangeArrowheads="1"/>
            </xdr:cNvSpPr>
          </xdr:nvSpPr>
          <xdr:spPr bwMode="auto">
            <a:xfrm>
              <a:off x="777"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Rectangle 33">
              <a:extLst>
                <a:ext uri="{FF2B5EF4-FFF2-40B4-BE49-F238E27FC236}">
                  <a16:creationId xmlns:a16="http://schemas.microsoft.com/office/drawing/2014/main" id="{00000000-0008-0000-0100-000021040000}"/>
                </a:ext>
              </a:extLst>
            </xdr:cNvPr>
            <xdr:cNvSpPr>
              <a:spLocks noChangeArrowheads="1"/>
            </xdr:cNvSpPr>
          </xdr:nvSpPr>
          <xdr:spPr bwMode="auto">
            <a:xfrm>
              <a:off x="799"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Rectangle 34">
              <a:extLst>
                <a:ext uri="{FF2B5EF4-FFF2-40B4-BE49-F238E27FC236}">
                  <a16:creationId xmlns:a16="http://schemas.microsoft.com/office/drawing/2014/main" id="{00000000-0008-0000-0100-000022040000}"/>
                </a:ext>
              </a:extLst>
            </xdr:cNvPr>
            <xdr:cNvSpPr>
              <a:spLocks noChangeArrowheads="1"/>
            </xdr:cNvSpPr>
          </xdr:nvSpPr>
          <xdr:spPr bwMode="auto">
            <a:xfrm>
              <a:off x="821"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Rectangle 35">
              <a:extLst>
                <a:ext uri="{FF2B5EF4-FFF2-40B4-BE49-F238E27FC236}">
                  <a16:creationId xmlns:a16="http://schemas.microsoft.com/office/drawing/2014/main" id="{00000000-0008-0000-0100-000023040000}"/>
                </a:ext>
              </a:extLst>
            </xdr:cNvPr>
            <xdr:cNvSpPr>
              <a:spLocks noChangeArrowheads="1"/>
            </xdr:cNvSpPr>
          </xdr:nvSpPr>
          <xdr:spPr bwMode="auto">
            <a:xfrm>
              <a:off x="843"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Rectangle 36">
              <a:extLst>
                <a:ext uri="{FF2B5EF4-FFF2-40B4-BE49-F238E27FC236}">
                  <a16:creationId xmlns:a16="http://schemas.microsoft.com/office/drawing/2014/main" id="{00000000-0008-0000-0100-000024040000}"/>
                </a:ext>
              </a:extLst>
            </xdr:cNvPr>
            <xdr:cNvSpPr>
              <a:spLocks noChangeArrowheads="1"/>
            </xdr:cNvSpPr>
          </xdr:nvSpPr>
          <xdr:spPr bwMode="auto">
            <a:xfrm>
              <a:off x="865"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Rectangle 37">
              <a:extLst>
                <a:ext uri="{FF2B5EF4-FFF2-40B4-BE49-F238E27FC236}">
                  <a16:creationId xmlns:a16="http://schemas.microsoft.com/office/drawing/2014/main" id="{00000000-0008-0000-0100-000025040000}"/>
                </a:ext>
              </a:extLst>
            </xdr:cNvPr>
            <xdr:cNvSpPr>
              <a:spLocks noChangeArrowheads="1"/>
            </xdr:cNvSpPr>
          </xdr:nvSpPr>
          <xdr:spPr bwMode="auto">
            <a:xfrm>
              <a:off x="887"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Rectangle 38">
              <a:extLst>
                <a:ext uri="{FF2B5EF4-FFF2-40B4-BE49-F238E27FC236}">
                  <a16:creationId xmlns:a16="http://schemas.microsoft.com/office/drawing/2014/main" id="{00000000-0008-0000-0100-000026040000}"/>
                </a:ext>
              </a:extLst>
            </xdr:cNvPr>
            <xdr:cNvSpPr>
              <a:spLocks noChangeArrowheads="1"/>
            </xdr:cNvSpPr>
          </xdr:nvSpPr>
          <xdr:spPr bwMode="auto">
            <a:xfrm>
              <a:off x="909"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3" name="Rectangle 39">
              <a:extLst>
                <a:ext uri="{FF2B5EF4-FFF2-40B4-BE49-F238E27FC236}">
                  <a16:creationId xmlns:a16="http://schemas.microsoft.com/office/drawing/2014/main" id="{00000000-0008-0000-0100-000027040000}"/>
                </a:ext>
              </a:extLst>
            </xdr:cNvPr>
            <xdr:cNvSpPr>
              <a:spLocks noChangeArrowheads="1"/>
            </xdr:cNvSpPr>
          </xdr:nvSpPr>
          <xdr:spPr bwMode="auto">
            <a:xfrm>
              <a:off x="931"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4" name="Rectangle 40">
              <a:extLst>
                <a:ext uri="{FF2B5EF4-FFF2-40B4-BE49-F238E27FC236}">
                  <a16:creationId xmlns:a16="http://schemas.microsoft.com/office/drawing/2014/main" id="{00000000-0008-0000-0100-000028040000}"/>
                </a:ext>
              </a:extLst>
            </xdr:cNvPr>
            <xdr:cNvSpPr>
              <a:spLocks noChangeArrowheads="1"/>
            </xdr:cNvSpPr>
          </xdr:nvSpPr>
          <xdr:spPr bwMode="auto">
            <a:xfrm>
              <a:off x="953"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5" name="Rectangle 41">
              <a:extLst>
                <a:ext uri="{FF2B5EF4-FFF2-40B4-BE49-F238E27FC236}">
                  <a16:creationId xmlns:a16="http://schemas.microsoft.com/office/drawing/2014/main" id="{00000000-0008-0000-0100-000029040000}"/>
                </a:ext>
              </a:extLst>
            </xdr:cNvPr>
            <xdr:cNvSpPr>
              <a:spLocks noChangeArrowheads="1"/>
            </xdr:cNvSpPr>
          </xdr:nvSpPr>
          <xdr:spPr bwMode="auto">
            <a:xfrm>
              <a:off x="975"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6" name="Rectangle 42">
              <a:extLst>
                <a:ext uri="{FF2B5EF4-FFF2-40B4-BE49-F238E27FC236}">
                  <a16:creationId xmlns:a16="http://schemas.microsoft.com/office/drawing/2014/main" id="{00000000-0008-0000-0100-00002A040000}"/>
                </a:ext>
              </a:extLst>
            </xdr:cNvPr>
            <xdr:cNvSpPr>
              <a:spLocks noChangeArrowheads="1"/>
            </xdr:cNvSpPr>
          </xdr:nvSpPr>
          <xdr:spPr bwMode="auto">
            <a:xfrm>
              <a:off x="997"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Rectangle 43">
              <a:extLst>
                <a:ext uri="{FF2B5EF4-FFF2-40B4-BE49-F238E27FC236}">
                  <a16:creationId xmlns:a16="http://schemas.microsoft.com/office/drawing/2014/main" id="{00000000-0008-0000-0100-00002B040000}"/>
                </a:ext>
              </a:extLst>
            </xdr:cNvPr>
            <xdr:cNvSpPr>
              <a:spLocks noChangeArrowheads="1"/>
            </xdr:cNvSpPr>
          </xdr:nvSpPr>
          <xdr:spPr bwMode="auto">
            <a:xfrm>
              <a:off x="1019"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8" name="Rectangle 44">
              <a:extLst>
                <a:ext uri="{FF2B5EF4-FFF2-40B4-BE49-F238E27FC236}">
                  <a16:creationId xmlns:a16="http://schemas.microsoft.com/office/drawing/2014/main" id="{00000000-0008-0000-0100-00002C040000}"/>
                </a:ext>
              </a:extLst>
            </xdr:cNvPr>
            <xdr:cNvSpPr>
              <a:spLocks noChangeArrowheads="1"/>
            </xdr:cNvSpPr>
          </xdr:nvSpPr>
          <xdr:spPr bwMode="auto">
            <a:xfrm>
              <a:off x="1041"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9" name="Rectangle 45">
              <a:extLst>
                <a:ext uri="{FF2B5EF4-FFF2-40B4-BE49-F238E27FC236}">
                  <a16:creationId xmlns:a16="http://schemas.microsoft.com/office/drawing/2014/main" id="{00000000-0008-0000-0100-00002D040000}"/>
                </a:ext>
              </a:extLst>
            </xdr:cNvPr>
            <xdr:cNvSpPr>
              <a:spLocks noChangeArrowheads="1"/>
            </xdr:cNvSpPr>
          </xdr:nvSpPr>
          <xdr:spPr bwMode="auto">
            <a:xfrm>
              <a:off x="1063"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Rectangle 46">
              <a:extLst>
                <a:ext uri="{FF2B5EF4-FFF2-40B4-BE49-F238E27FC236}">
                  <a16:creationId xmlns:a16="http://schemas.microsoft.com/office/drawing/2014/main" id="{00000000-0008-0000-0100-00002E040000}"/>
                </a:ext>
              </a:extLst>
            </xdr:cNvPr>
            <xdr:cNvSpPr>
              <a:spLocks noChangeArrowheads="1"/>
            </xdr:cNvSpPr>
          </xdr:nvSpPr>
          <xdr:spPr bwMode="auto">
            <a:xfrm>
              <a:off x="1086"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1" name="Rectangle 47">
              <a:extLst>
                <a:ext uri="{FF2B5EF4-FFF2-40B4-BE49-F238E27FC236}">
                  <a16:creationId xmlns:a16="http://schemas.microsoft.com/office/drawing/2014/main" id="{00000000-0008-0000-0100-00002F040000}"/>
                </a:ext>
              </a:extLst>
            </xdr:cNvPr>
            <xdr:cNvSpPr>
              <a:spLocks noChangeArrowheads="1"/>
            </xdr:cNvSpPr>
          </xdr:nvSpPr>
          <xdr:spPr bwMode="auto">
            <a:xfrm>
              <a:off x="1108"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2" name="Line 48">
              <a:extLst>
                <a:ext uri="{FF2B5EF4-FFF2-40B4-BE49-F238E27FC236}">
                  <a16:creationId xmlns:a16="http://schemas.microsoft.com/office/drawing/2014/main" id="{00000000-0008-0000-0100-000030040000}"/>
                </a:ext>
              </a:extLst>
            </xdr:cNvPr>
            <xdr:cNvSpPr>
              <a:spLocks noChangeShapeType="1"/>
            </xdr:cNvSpPr>
          </xdr:nvSpPr>
          <xdr:spPr bwMode="auto">
            <a:xfrm>
              <a:off x="204" y="123"/>
              <a:ext cx="926"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73" name="Rectangle 49">
              <a:extLst>
                <a:ext uri="{FF2B5EF4-FFF2-40B4-BE49-F238E27FC236}">
                  <a16:creationId xmlns:a16="http://schemas.microsoft.com/office/drawing/2014/main" id="{00000000-0008-0000-0100-000031040000}"/>
                </a:ext>
              </a:extLst>
            </xdr:cNvPr>
            <xdr:cNvSpPr>
              <a:spLocks noChangeArrowheads="1"/>
            </xdr:cNvSpPr>
          </xdr:nvSpPr>
          <xdr:spPr bwMode="auto">
            <a:xfrm>
              <a:off x="204" y="123"/>
              <a:ext cx="92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4" name="Rectangle 50">
              <a:extLst>
                <a:ext uri="{FF2B5EF4-FFF2-40B4-BE49-F238E27FC236}">
                  <a16:creationId xmlns:a16="http://schemas.microsoft.com/office/drawing/2014/main" id="{00000000-0008-0000-0100-000032040000}"/>
                </a:ext>
              </a:extLst>
            </xdr:cNvPr>
            <xdr:cNvSpPr>
              <a:spLocks noChangeArrowheads="1"/>
            </xdr:cNvSpPr>
          </xdr:nvSpPr>
          <xdr:spPr bwMode="auto">
            <a:xfrm>
              <a:off x="1130"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5" name="Line 51">
              <a:extLst>
                <a:ext uri="{FF2B5EF4-FFF2-40B4-BE49-F238E27FC236}">
                  <a16:creationId xmlns:a16="http://schemas.microsoft.com/office/drawing/2014/main" id="{00000000-0008-0000-0100-000033040000}"/>
                </a:ext>
              </a:extLst>
            </xdr:cNvPr>
            <xdr:cNvSpPr>
              <a:spLocks noChangeShapeType="1"/>
            </xdr:cNvSpPr>
          </xdr:nvSpPr>
          <xdr:spPr bwMode="auto">
            <a:xfrm>
              <a:off x="204" y="123"/>
              <a:ext cx="0" cy="40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76" name="Rectangle 52">
              <a:extLst>
                <a:ext uri="{FF2B5EF4-FFF2-40B4-BE49-F238E27FC236}">
                  <a16:creationId xmlns:a16="http://schemas.microsoft.com/office/drawing/2014/main" id="{00000000-0008-0000-0100-000034040000}"/>
                </a:ext>
              </a:extLst>
            </xdr:cNvPr>
            <xdr:cNvSpPr>
              <a:spLocks noChangeArrowheads="1"/>
            </xdr:cNvSpPr>
          </xdr:nvSpPr>
          <xdr:spPr bwMode="auto">
            <a:xfrm>
              <a:off x="204" y="123"/>
              <a:ext cx="1" cy="40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7" name="Line 53">
              <a:extLst>
                <a:ext uri="{FF2B5EF4-FFF2-40B4-BE49-F238E27FC236}">
                  <a16:creationId xmlns:a16="http://schemas.microsoft.com/office/drawing/2014/main" id="{00000000-0008-0000-0100-000035040000}"/>
                </a:ext>
              </a:extLst>
            </xdr:cNvPr>
            <xdr:cNvSpPr>
              <a:spLocks noChangeShapeType="1"/>
            </xdr:cNvSpPr>
          </xdr:nvSpPr>
          <xdr:spPr bwMode="auto">
            <a:xfrm>
              <a:off x="204" y="523"/>
              <a:ext cx="926"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78" name="Rectangle 54">
              <a:extLst>
                <a:ext uri="{FF2B5EF4-FFF2-40B4-BE49-F238E27FC236}">
                  <a16:creationId xmlns:a16="http://schemas.microsoft.com/office/drawing/2014/main" id="{00000000-0008-0000-0100-000036040000}"/>
                </a:ext>
              </a:extLst>
            </xdr:cNvPr>
            <xdr:cNvSpPr>
              <a:spLocks noChangeArrowheads="1"/>
            </xdr:cNvSpPr>
          </xdr:nvSpPr>
          <xdr:spPr bwMode="auto">
            <a:xfrm>
              <a:off x="204" y="523"/>
              <a:ext cx="92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79" name="Line 55">
              <a:extLst>
                <a:ext uri="{FF2B5EF4-FFF2-40B4-BE49-F238E27FC236}">
                  <a16:creationId xmlns:a16="http://schemas.microsoft.com/office/drawing/2014/main" id="{00000000-0008-0000-0100-000037040000}"/>
                </a:ext>
              </a:extLst>
            </xdr:cNvPr>
            <xdr:cNvSpPr>
              <a:spLocks noChangeShapeType="1"/>
            </xdr:cNvSpPr>
          </xdr:nvSpPr>
          <xdr:spPr bwMode="auto">
            <a:xfrm>
              <a:off x="1130" y="123"/>
              <a:ext cx="0" cy="40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080" name="Rectangle 56">
              <a:extLst>
                <a:ext uri="{FF2B5EF4-FFF2-40B4-BE49-F238E27FC236}">
                  <a16:creationId xmlns:a16="http://schemas.microsoft.com/office/drawing/2014/main" id="{00000000-0008-0000-0100-000038040000}"/>
                </a:ext>
              </a:extLst>
            </xdr:cNvPr>
            <xdr:cNvSpPr>
              <a:spLocks noChangeArrowheads="1"/>
            </xdr:cNvSpPr>
          </xdr:nvSpPr>
          <xdr:spPr bwMode="auto">
            <a:xfrm>
              <a:off x="1130" y="123"/>
              <a:ext cx="1" cy="40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1" name="Line 57">
              <a:extLst>
                <a:ext uri="{FF2B5EF4-FFF2-40B4-BE49-F238E27FC236}">
                  <a16:creationId xmlns:a16="http://schemas.microsoft.com/office/drawing/2014/main" id="{00000000-0008-0000-0100-000039040000}"/>
                </a:ext>
              </a:extLst>
            </xdr:cNvPr>
            <xdr:cNvSpPr>
              <a:spLocks noChangeShapeType="1"/>
            </xdr:cNvSpPr>
          </xdr:nvSpPr>
          <xdr:spPr bwMode="auto">
            <a:xfrm>
              <a:off x="204"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82" name="Rectangle 58">
              <a:extLst>
                <a:ext uri="{FF2B5EF4-FFF2-40B4-BE49-F238E27FC236}">
                  <a16:creationId xmlns:a16="http://schemas.microsoft.com/office/drawing/2014/main" id="{00000000-0008-0000-0100-00003A040000}"/>
                </a:ext>
              </a:extLst>
            </xdr:cNvPr>
            <xdr:cNvSpPr>
              <a:spLocks noChangeArrowheads="1"/>
            </xdr:cNvSpPr>
          </xdr:nvSpPr>
          <xdr:spPr bwMode="auto">
            <a:xfrm>
              <a:off x="204"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Line 59">
              <a:extLst>
                <a:ext uri="{FF2B5EF4-FFF2-40B4-BE49-F238E27FC236}">
                  <a16:creationId xmlns:a16="http://schemas.microsoft.com/office/drawing/2014/main" id="{00000000-0008-0000-0100-00003B040000}"/>
                </a:ext>
              </a:extLst>
            </xdr:cNvPr>
            <xdr:cNvSpPr>
              <a:spLocks noChangeShapeType="1"/>
            </xdr:cNvSpPr>
          </xdr:nvSpPr>
          <xdr:spPr bwMode="auto">
            <a:xfrm>
              <a:off x="226"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84" name="Rectangle 60">
              <a:extLst>
                <a:ext uri="{FF2B5EF4-FFF2-40B4-BE49-F238E27FC236}">
                  <a16:creationId xmlns:a16="http://schemas.microsoft.com/office/drawing/2014/main" id="{00000000-0008-0000-0100-00003C040000}"/>
                </a:ext>
              </a:extLst>
            </xdr:cNvPr>
            <xdr:cNvSpPr>
              <a:spLocks noChangeArrowheads="1"/>
            </xdr:cNvSpPr>
          </xdr:nvSpPr>
          <xdr:spPr bwMode="auto">
            <a:xfrm>
              <a:off x="226"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5" name="Line 61">
              <a:extLst>
                <a:ext uri="{FF2B5EF4-FFF2-40B4-BE49-F238E27FC236}">
                  <a16:creationId xmlns:a16="http://schemas.microsoft.com/office/drawing/2014/main" id="{00000000-0008-0000-0100-00003D040000}"/>
                </a:ext>
              </a:extLst>
            </xdr:cNvPr>
            <xdr:cNvSpPr>
              <a:spLocks noChangeShapeType="1"/>
            </xdr:cNvSpPr>
          </xdr:nvSpPr>
          <xdr:spPr bwMode="auto">
            <a:xfrm>
              <a:off x="248"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86" name="Rectangle 62">
              <a:extLst>
                <a:ext uri="{FF2B5EF4-FFF2-40B4-BE49-F238E27FC236}">
                  <a16:creationId xmlns:a16="http://schemas.microsoft.com/office/drawing/2014/main" id="{00000000-0008-0000-0100-00003E040000}"/>
                </a:ext>
              </a:extLst>
            </xdr:cNvPr>
            <xdr:cNvSpPr>
              <a:spLocks noChangeArrowheads="1"/>
            </xdr:cNvSpPr>
          </xdr:nvSpPr>
          <xdr:spPr bwMode="auto">
            <a:xfrm>
              <a:off x="248"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Line 63">
              <a:extLst>
                <a:ext uri="{FF2B5EF4-FFF2-40B4-BE49-F238E27FC236}">
                  <a16:creationId xmlns:a16="http://schemas.microsoft.com/office/drawing/2014/main" id="{00000000-0008-0000-0100-00003F040000}"/>
                </a:ext>
              </a:extLst>
            </xdr:cNvPr>
            <xdr:cNvSpPr>
              <a:spLocks noChangeShapeType="1"/>
            </xdr:cNvSpPr>
          </xdr:nvSpPr>
          <xdr:spPr bwMode="auto">
            <a:xfrm>
              <a:off x="270"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88" name="Rectangle 64">
              <a:extLst>
                <a:ext uri="{FF2B5EF4-FFF2-40B4-BE49-F238E27FC236}">
                  <a16:creationId xmlns:a16="http://schemas.microsoft.com/office/drawing/2014/main" id="{00000000-0008-0000-0100-000040040000}"/>
                </a:ext>
              </a:extLst>
            </xdr:cNvPr>
            <xdr:cNvSpPr>
              <a:spLocks noChangeArrowheads="1"/>
            </xdr:cNvSpPr>
          </xdr:nvSpPr>
          <xdr:spPr bwMode="auto">
            <a:xfrm>
              <a:off x="270"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9" name="Line 65">
              <a:extLst>
                <a:ext uri="{FF2B5EF4-FFF2-40B4-BE49-F238E27FC236}">
                  <a16:creationId xmlns:a16="http://schemas.microsoft.com/office/drawing/2014/main" id="{00000000-0008-0000-0100-000041040000}"/>
                </a:ext>
              </a:extLst>
            </xdr:cNvPr>
            <xdr:cNvSpPr>
              <a:spLocks noChangeShapeType="1"/>
            </xdr:cNvSpPr>
          </xdr:nvSpPr>
          <xdr:spPr bwMode="auto">
            <a:xfrm>
              <a:off x="292"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90" name="Rectangle 66">
              <a:extLst>
                <a:ext uri="{FF2B5EF4-FFF2-40B4-BE49-F238E27FC236}">
                  <a16:creationId xmlns:a16="http://schemas.microsoft.com/office/drawing/2014/main" id="{00000000-0008-0000-0100-000042040000}"/>
                </a:ext>
              </a:extLst>
            </xdr:cNvPr>
            <xdr:cNvSpPr>
              <a:spLocks noChangeArrowheads="1"/>
            </xdr:cNvSpPr>
          </xdr:nvSpPr>
          <xdr:spPr bwMode="auto">
            <a:xfrm>
              <a:off x="292"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1" name="Line 67">
              <a:extLst>
                <a:ext uri="{FF2B5EF4-FFF2-40B4-BE49-F238E27FC236}">
                  <a16:creationId xmlns:a16="http://schemas.microsoft.com/office/drawing/2014/main" id="{00000000-0008-0000-0100-000043040000}"/>
                </a:ext>
              </a:extLst>
            </xdr:cNvPr>
            <xdr:cNvSpPr>
              <a:spLocks noChangeShapeType="1"/>
            </xdr:cNvSpPr>
          </xdr:nvSpPr>
          <xdr:spPr bwMode="auto">
            <a:xfrm>
              <a:off x="314"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92" name="Rectangle 68">
              <a:extLst>
                <a:ext uri="{FF2B5EF4-FFF2-40B4-BE49-F238E27FC236}">
                  <a16:creationId xmlns:a16="http://schemas.microsoft.com/office/drawing/2014/main" id="{00000000-0008-0000-0100-000044040000}"/>
                </a:ext>
              </a:extLst>
            </xdr:cNvPr>
            <xdr:cNvSpPr>
              <a:spLocks noChangeArrowheads="1"/>
            </xdr:cNvSpPr>
          </xdr:nvSpPr>
          <xdr:spPr bwMode="auto">
            <a:xfrm>
              <a:off x="314"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3" name="Line 69">
              <a:extLst>
                <a:ext uri="{FF2B5EF4-FFF2-40B4-BE49-F238E27FC236}">
                  <a16:creationId xmlns:a16="http://schemas.microsoft.com/office/drawing/2014/main" id="{00000000-0008-0000-0100-000045040000}"/>
                </a:ext>
              </a:extLst>
            </xdr:cNvPr>
            <xdr:cNvSpPr>
              <a:spLocks noChangeShapeType="1"/>
            </xdr:cNvSpPr>
          </xdr:nvSpPr>
          <xdr:spPr bwMode="auto">
            <a:xfrm>
              <a:off x="336"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94" name="Rectangle 70">
              <a:extLst>
                <a:ext uri="{FF2B5EF4-FFF2-40B4-BE49-F238E27FC236}">
                  <a16:creationId xmlns:a16="http://schemas.microsoft.com/office/drawing/2014/main" id="{00000000-0008-0000-0100-000046040000}"/>
                </a:ext>
              </a:extLst>
            </xdr:cNvPr>
            <xdr:cNvSpPr>
              <a:spLocks noChangeArrowheads="1"/>
            </xdr:cNvSpPr>
          </xdr:nvSpPr>
          <xdr:spPr bwMode="auto">
            <a:xfrm>
              <a:off x="336"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5" name="Line 71">
              <a:extLst>
                <a:ext uri="{FF2B5EF4-FFF2-40B4-BE49-F238E27FC236}">
                  <a16:creationId xmlns:a16="http://schemas.microsoft.com/office/drawing/2014/main" id="{00000000-0008-0000-0100-000047040000}"/>
                </a:ext>
              </a:extLst>
            </xdr:cNvPr>
            <xdr:cNvSpPr>
              <a:spLocks noChangeShapeType="1"/>
            </xdr:cNvSpPr>
          </xdr:nvSpPr>
          <xdr:spPr bwMode="auto">
            <a:xfrm>
              <a:off x="358"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96" name="Rectangle 72">
              <a:extLst>
                <a:ext uri="{FF2B5EF4-FFF2-40B4-BE49-F238E27FC236}">
                  <a16:creationId xmlns:a16="http://schemas.microsoft.com/office/drawing/2014/main" id="{00000000-0008-0000-0100-000048040000}"/>
                </a:ext>
              </a:extLst>
            </xdr:cNvPr>
            <xdr:cNvSpPr>
              <a:spLocks noChangeArrowheads="1"/>
            </xdr:cNvSpPr>
          </xdr:nvSpPr>
          <xdr:spPr bwMode="auto">
            <a:xfrm>
              <a:off x="358"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7" name="Line 73">
              <a:extLst>
                <a:ext uri="{FF2B5EF4-FFF2-40B4-BE49-F238E27FC236}">
                  <a16:creationId xmlns:a16="http://schemas.microsoft.com/office/drawing/2014/main" id="{00000000-0008-0000-0100-000049040000}"/>
                </a:ext>
              </a:extLst>
            </xdr:cNvPr>
            <xdr:cNvSpPr>
              <a:spLocks noChangeShapeType="1"/>
            </xdr:cNvSpPr>
          </xdr:nvSpPr>
          <xdr:spPr bwMode="auto">
            <a:xfrm>
              <a:off x="380"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98" name="Rectangle 74">
              <a:extLst>
                <a:ext uri="{FF2B5EF4-FFF2-40B4-BE49-F238E27FC236}">
                  <a16:creationId xmlns:a16="http://schemas.microsoft.com/office/drawing/2014/main" id="{00000000-0008-0000-0100-00004A040000}"/>
                </a:ext>
              </a:extLst>
            </xdr:cNvPr>
            <xdr:cNvSpPr>
              <a:spLocks noChangeArrowheads="1"/>
            </xdr:cNvSpPr>
          </xdr:nvSpPr>
          <xdr:spPr bwMode="auto">
            <a:xfrm>
              <a:off x="380"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9" name="Line 75">
              <a:extLst>
                <a:ext uri="{FF2B5EF4-FFF2-40B4-BE49-F238E27FC236}">
                  <a16:creationId xmlns:a16="http://schemas.microsoft.com/office/drawing/2014/main" id="{00000000-0008-0000-0100-00004B040000}"/>
                </a:ext>
              </a:extLst>
            </xdr:cNvPr>
            <xdr:cNvSpPr>
              <a:spLocks noChangeShapeType="1"/>
            </xdr:cNvSpPr>
          </xdr:nvSpPr>
          <xdr:spPr bwMode="auto">
            <a:xfrm>
              <a:off x="402"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00" name="Rectangle 76">
              <a:extLst>
                <a:ext uri="{FF2B5EF4-FFF2-40B4-BE49-F238E27FC236}">
                  <a16:creationId xmlns:a16="http://schemas.microsoft.com/office/drawing/2014/main" id="{00000000-0008-0000-0100-00004C040000}"/>
                </a:ext>
              </a:extLst>
            </xdr:cNvPr>
            <xdr:cNvSpPr>
              <a:spLocks noChangeArrowheads="1"/>
            </xdr:cNvSpPr>
          </xdr:nvSpPr>
          <xdr:spPr bwMode="auto">
            <a:xfrm>
              <a:off x="402"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1" name="Line 77">
              <a:extLst>
                <a:ext uri="{FF2B5EF4-FFF2-40B4-BE49-F238E27FC236}">
                  <a16:creationId xmlns:a16="http://schemas.microsoft.com/office/drawing/2014/main" id="{00000000-0008-0000-0100-00004D040000}"/>
                </a:ext>
              </a:extLst>
            </xdr:cNvPr>
            <xdr:cNvSpPr>
              <a:spLocks noChangeShapeType="1"/>
            </xdr:cNvSpPr>
          </xdr:nvSpPr>
          <xdr:spPr bwMode="auto">
            <a:xfrm>
              <a:off x="424"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02" name="Rectangle 78">
              <a:extLst>
                <a:ext uri="{FF2B5EF4-FFF2-40B4-BE49-F238E27FC236}">
                  <a16:creationId xmlns:a16="http://schemas.microsoft.com/office/drawing/2014/main" id="{00000000-0008-0000-0100-00004E040000}"/>
                </a:ext>
              </a:extLst>
            </xdr:cNvPr>
            <xdr:cNvSpPr>
              <a:spLocks noChangeArrowheads="1"/>
            </xdr:cNvSpPr>
          </xdr:nvSpPr>
          <xdr:spPr bwMode="auto">
            <a:xfrm>
              <a:off x="424"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3" name="Line 79">
              <a:extLst>
                <a:ext uri="{FF2B5EF4-FFF2-40B4-BE49-F238E27FC236}">
                  <a16:creationId xmlns:a16="http://schemas.microsoft.com/office/drawing/2014/main" id="{00000000-0008-0000-0100-00004F040000}"/>
                </a:ext>
              </a:extLst>
            </xdr:cNvPr>
            <xdr:cNvSpPr>
              <a:spLocks noChangeShapeType="1"/>
            </xdr:cNvSpPr>
          </xdr:nvSpPr>
          <xdr:spPr bwMode="auto">
            <a:xfrm>
              <a:off x="446"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04" name="Rectangle 80">
              <a:extLst>
                <a:ext uri="{FF2B5EF4-FFF2-40B4-BE49-F238E27FC236}">
                  <a16:creationId xmlns:a16="http://schemas.microsoft.com/office/drawing/2014/main" id="{00000000-0008-0000-0100-000050040000}"/>
                </a:ext>
              </a:extLst>
            </xdr:cNvPr>
            <xdr:cNvSpPr>
              <a:spLocks noChangeArrowheads="1"/>
            </xdr:cNvSpPr>
          </xdr:nvSpPr>
          <xdr:spPr bwMode="auto">
            <a:xfrm>
              <a:off x="446"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5" name="Line 81">
              <a:extLst>
                <a:ext uri="{FF2B5EF4-FFF2-40B4-BE49-F238E27FC236}">
                  <a16:creationId xmlns:a16="http://schemas.microsoft.com/office/drawing/2014/main" id="{00000000-0008-0000-0100-000051040000}"/>
                </a:ext>
              </a:extLst>
            </xdr:cNvPr>
            <xdr:cNvSpPr>
              <a:spLocks noChangeShapeType="1"/>
            </xdr:cNvSpPr>
          </xdr:nvSpPr>
          <xdr:spPr bwMode="auto">
            <a:xfrm>
              <a:off x="468"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06" name="Rectangle 82">
              <a:extLst>
                <a:ext uri="{FF2B5EF4-FFF2-40B4-BE49-F238E27FC236}">
                  <a16:creationId xmlns:a16="http://schemas.microsoft.com/office/drawing/2014/main" id="{00000000-0008-0000-0100-000052040000}"/>
                </a:ext>
              </a:extLst>
            </xdr:cNvPr>
            <xdr:cNvSpPr>
              <a:spLocks noChangeArrowheads="1"/>
            </xdr:cNvSpPr>
          </xdr:nvSpPr>
          <xdr:spPr bwMode="auto">
            <a:xfrm>
              <a:off x="468"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7" name="Line 83">
              <a:extLst>
                <a:ext uri="{FF2B5EF4-FFF2-40B4-BE49-F238E27FC236}">
                  <a16:creationId xmlns:a16="http://schemas.microsoft.com/office/drawing/2014/main" id="{00000000-0008-0000-0100-000053040000}"/>
                </a:ext>
              </a:extLst>
            </xdr:cNvPr>
            <xdr:cNvSpPr>
              <a:spLocks noChangeShapeType="1"/>
            </xdr:cNvSpPr>
          </xdr:nvSpPr>
          <xdr:spPr bwMode="auto">
            <a:xfrm>
              <a:off x="490"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08" name="Rectangle 84">
              <a:extLst>
                <a:ext uri="{FF2B5EF4-FFF2-40B4-BE49-F238E27FC236}">
                  <a16:creationId xmlns:a16="http://schemas.microsoft.com/office/drawing/2014/main" id="{00000000-0008-0000-0100-000054040000}"/>
                </a:ext>
              </a:extLst>
            </xdr:cNvPr>
            <xdr:cNvSpPr>
              <a:spLocks noChangeArrowheads="1"/>
            </xdr:cNvSpPr>
          </xdr:nvSpPr>
          <xdr:spPr bwMode="auto">
            <a:xfrm>
              <a:off x="490"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9" name="Line 85">
              <a:extLst>
                <a:ext uri="{FF2B5EF4-FFF2-40B4-BE49-F238E27FC236}">
                  <a16:creationId xmlns:a16="http://schemas.microsoft.com/office/drawing/2014/main" id="{00000000-0008-0000-0100-000055040000}"/>
                </a:ext>
              </a:extLst>
            </xdr:cNvPr>
            <xdr:cNvSpPr>
              <a:spLocks noChangeShapeType="1"/>
            </xdr:cNvSpPr>
          </xdr:nvSpPr>
          <xdr:spPr bwMode="auto">
            <a:xfrm>
              <a:off x="513"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10" name="Rectangle 86">
              <a:extLst>
                <a:ext uri="{FF2B5EF4-FFF2-40B4-BE49-F238E27FC236}">
                  <a16:creationId xmlns:a16="http://schemas.microsoft.com/office/drawing/2014/main" id="{00000000-0008-0000-0100-000056040000}"/>
                </a:ext>
              </a:extLst>
            </xdr:cNvPr>
            <xdr:cNvSpPr>
              <a:spLocks noChangeArrowheads="1"/>
            </xdr:cNvSpPr>
          </xdr:nvSpPr>
          <xdr:spPr bwMode="auto">
            <a:xfrm>
              <a:off x="513"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1" name="Line 87">
              <a:extLst>
                <a:ext uri="{FF2B5EF4-FFF2-40B4-BE49-F238E27FC236}">
                  <a16:creationId xmlns:a16="http://schemas.microsoft.com/office/drawing/2014/main" id="{00000000-0008-0000-0100-000057040000}"/>
                </a:ext>
              </a:extLst>
            </xdr:cNvPr>
            <xdr:cNvSpPr>
              <a:spLocks noChangeShapeType="1"/>
            </xdr:cNvSpPr>
          </xdr:nvSpPr>
          <xdr:spPr bwMode="auto">
            <a:xfrm>
              <a:off x="535"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12" name="Rectangle 88">
              <a:extLst>
                <a:ext uri="{FF2B5EF4-FFF2-40B4-BE49-F238E27FC236}">
                  <a16:creationId xmlns:a16="http://schemas.microsoft.com/office/drawing/2014/main" id="{00000000-0008-0000-0100-000058040000}"/>
                </a:ext>
              </a:extLst>
            </xdr:cNvPr>
            <xdr:cNvSpPr>
              <a:spLocks noChangeArrowheads="1"/>
            </xdr:cNvSpPr>
          </xdr:nvSpPr>
          <xdr:spPr bwMode="auto">
            <a:xfrm>
              <a:off x="535"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3" name="Line 89">
              <a:extLst>
                <a:ext uri="{FF2B5EF4-FFF2-40B4-BE49-F238E27FC236}">
                  <a16:creationId xmlns:a16="http://schemas.microsoft.com/office/drawing/2014/main" id="{00000000-0008-0000-0100-000059040000}"/>
                </a:ext>
              </a:extLst>
            </xdr:cNvPr>
            <xdr:cNvSpPr>
              <a:spLocks noChangeShapeType="1"/>
            </xdr:cNvSpPr>
          </xdr:nvSpPr>
          <xdr:spPr bwMode="auto">
            <a:xfrm>
              <a:off x="557"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14" name="Rectangle 90">
              <a:extLst>
                <a:ext uri="{FF2B5EF4-FFF2-40B4-BE49-F238E27FC236}">
                  <a16:creationId xmlns:a16="http://schemas.microsoft.com/office/drawing/2014/main" id="{00000000-0008-0000-0100-00005A040000}"/>
                </a:ext>
              </a:extLst>
            </xdr:cNvPr>
            <xdr:cNvSpPr>
              <a:spLocks noChangeArrowheads="1"/>
            </xdr:cNvSpPr>
          </xdr:nvSpPr>
          <xdr:spPr bwMode="auto">
            <a:xfrm>
              <a:off x="557"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5" name="Line 91">
              <a:extLst>
                <a:ext uri="{FF2B5EF4-FFF2-40B4-BE49-F238E27FC236}">
                  <a16:creationId xmlns:a16="http://schemas.microsoft.com/office/drawing/2014/main" id="{00000000-0008-0000-0100-00005B040000}"/>
                </a:ext>
              </a:extLst>
            </xdr:cNvPr>
            <xdr:cNvSpPr>
              <a:spLocks noChangeShapeType="1"/>
            </xdr:cNvSpPr>
          </xdr:nvSpPr>
          <xdr:spPr bwMode="auto">
            <a:xfrm>
              <a:off x="579"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16" name="Rectangle 92">
              <a:extLst>
                <a:ext uri="{FF2B5EF4-FFF2-40B4-BE49-F238E27FC236}">
                  <a16:creationId xmlns:a16="http://schemas.microsoft.com/office/drawing/2014/main" id="{00000000-0008-0000-0100-00005C040000}"/>
                </a:ext>
              </a:extLst>
            </xdr:cNvPr>
            <xdr:cNvSpPr>
              <a:spLocks noChangeArrowheads="1"/>
            </xdr:cNvSpPr>
          </xdr:nvSpPr>
          <xdr:spPr bwMode="auto">
            <a:xfrm>
              <a:off x="579"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7" name="Line 93">
              <a:extLst>
                <a:ext uri="{FF2B5EF4-FFF2-40B4-BE49-F238E27FC236}">
                  <a16:creationId xmlns:a16="http://schemas.microsoft.com/office/drawing/2014/main" id="{00000000-0008-0000-0100-00005D040000}"/>
                </a:ext>
              </a:extLst>
            </xdr:cNvPr>
            <xdr:cNvSpPr>
              <a:spLocks noChangeShapeType="1"/>
            </xdr:cNvSpPr>
          </xdr:nvSpPr>
          <xdr:spPr bwMode="auto">
            <a:xfrm>
              <a:off x="601"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18" name="Rectangle 94">
              <a:extLst>
                <a:ext uri="{FF2B5EF4-FFF2-40B4-BE49-F238E27FC236}">
                  <a16:creationId xmlns:a16="http://schemas.microsoft.com/office/drawing/2014/main" id="{00000000-0008-0000-0100-00005E040000}"/>
                </a:ext>
              </a:extLst>
            </xdr:cNvPr>
            <xdr:cNvSpPr>
              <a:spLocks noChangeArrowheads="1"/>
            </xdr:cNvSpPr>
          </xdr:nvSpPr>
          <xdr:spPr bwMode="auto">
            <a:xfrm>
              <a:off x="601"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9" name="Line 95">
              <a:extLst>
                <a:ext uri="{FF2B5EF4-FFF2-40B4-BE49-F238E27FC236}">
                  <a16:creationId xmlns:a16="http://schemas.microsoft.com/office/drawing/2014/main" id="{00000000-0008-0000-0100-00005F040000}"/>
                </a:ext>
              </a:extLst>
            </xdr:cNvPr>
            <xdr:cNvSpPr>
              <a:spLocks noChangeShapeType="1"/>
            </xdr:cNvSpPr>
          </xdr:nvSpPr>
          <xdr:spPr bwMode="auto">
            <a:xfrm>
              <a:off x="623"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20" name="Rectangle 96">
              <a:extLst>
                <a:ext uri="{FF2B5EF4-FFF2-40B4-BE49-F238E27FC236}">
                  <a16:creationId xmlns:a16="http://schemas.microsoft.com/office/drawing/2014/main" id="{00000000-0008-0000-0100-000060040000}"/>
                </a:ext>
              </a:extLst>
            </xdr:cNvPr>
            <xdr:cNvSpPr>
              <a:spLocks noChangeArrowheads="1"/>
            </xdr:cNvSpPr>
          </xdr:nvSpPr>
          <xdr:spPr bwMode="auto">
            <a:xfrm>
              <a:off x="623"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1" name="Line 97">
              <a:extLst>
                <a:ext uri="{FF2B5EF4-FFF2-40B4-BE49-F238E27FC236}">
                  <a16:creationId xmlns:a16="http://schemas.microsoft.com/office/drawing/2014/main" id="{00000000-0008-0000-0100-000061040000}"/>
                </a:ext>
              </a:extLst>
            </xdr:cNvPr>
            <xdr:cNvSpPr>
              <a:spLocks noChangeShapeType="1"/>
            </xdr:cNvSpPr>
          </xdr:nvSpPr>
          <xdr:spPr bwMode="auto">
            <a:xfrm>
              <a:off x="645"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22" name="Rectangle 98">
              <a:extLst>
                <a:ext uri="{FF2B5EF4-FFF2-40B4-BE49-F238E27FC236}">
                  <a16:creationId xmlns:a16="http://schemas.microsoft.com/office/drawing/2014/main" id="{00000000-0008-0000-0100-000062040000}"/>
                </a:ext>
              </a:extLst>
            </xdr:cNvPr>
            <xdr:cNvSpPr>
              <a:spLocks noChangeArrowheads="1"/>
            </xdr:cNvSpPr>
          </xdr:nvSpPr>
          <xdr:spPr bwMode="auto">
            <a:xfrm>
              <a:off x="645"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3" name="Line 99">
              <a:extLst>
                <a:ext uri="{FF2B5EF4-FFF2-40B4-BE49-F238E27FC236}">
                  <a16:creationId xmlns:a16="http://schemas.microsoft.com/office/drawing/2014/main" id="{00000000-0008-0000-0100-000063040000}"/>
                </a:ext>
              </a:extLst>
            </xdr:cNvPr>
            <xdr:cNvSpPr>
              <a:spLocks noChangeShapeType="1"/>
            </xdr:cNvSpPr>
          </xdr:nvSpPr>
          <xdr:spPr bwMode="auto">
            <a:xfrm>
              <a:off x="667"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24" name="Rectangle 100">
              <a:extLst>
                <a:ext uri="{FF2B5EF4-FFF2-40B4-BE49-F238E27FC236}">
                  <a16:creationId xmlns:a16="http://schemas.microsoft.com/office/drawing/2014/main" id="{00000000-0008-0000-0100-000064040000}"/>
                </a:ext>
              </a:extLst>
            </xdr:cNvPr>
            <xdr:cNvSpPr>
              <a:spLocks noChangeArrowheads="1"/>
            </xdr:cNvSpPr>
          </xdr:nvSpPr>
          <xdr:spPr bwMode="auto">
            <a:xfrm>
              <a:off x="667"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5" name="Line 101">
              <a:extLst>
                <a:ext uri="{FF2B5EF4-FFF2-40B4-BE49-F238E27FC236}">
                  <a16:creationId xmlns:a16="http://schemas.microsoft.com/office/drawing/2014/main" id="{00000000-0008-0000-0100-000065040000}"/>
                </a:ext>
              </a:extLst>
            </xdr:cNvPr>
            <xdr:cNvSpPr>
              <a:spLocks noChangeShapeType="1"/>
            </xdr:cNvSpPr>
          </xdr:nvSpPr>
          <xdr:spPr bwMode="auto">
            <a:xfrm>
              <a:off x="689"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26" name="Rectangle 102">
              <a:extLst>
                <a:ext uri="{FF2B5EF4-FFF2-40B4-BE49-F238E27FC236}">
                  <a16:creationId xmlns:a16="http://schemas.microsoft.com/office/drawing/2014/main" id="{00000000-0008-0000-0100-000066040000}"/>
                </a:ext>
              </a:extLst>
            </xdr:cNvPr>
            <xdr:cNvSpPr>
              <a:spLocks noChangeArrowheads="1"/>
            </xdr:cNvSpPr>
          </xdr:nvSpPr>
          <xdr:spPr bwMode="auto">
            <a:xfrm>
              <a:off x="689"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7" name="Line 103">
              <a:extLst>
                <a:ext uri="{FF2B5EF4-FFF2-40B4-BE49-F238E27FC236}">
                  <a16:creationId xmlns:a16="http://schemas.microsoft.com/office/drawing/2014/main" id="{00000000-0008-0000-0100-000067040000}"/>
                </a:ext>
              </a:extLst>
            </xdr:cNvPr>
            <xdr:cNvSpPr>
              <a:spLocks noChangeShapeType="1"/>
            </xdr:cNvSpPr>
          </xdr:nvSpPr>
          <xdr:spPr bwMode="auto">
            <a:xfrm>
              <a:off x="711"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28" name="Rectangle 104">
              <a:extLst>
                <a:ext uri="{FF2B5EF4-FFF2-40B4-BE49-F238E27FC236}">
                  <a16:creationId xmlns:a16="http://schemas.microsoft.com/office/drawing/2014/main" id="{00000000-0008-0000-0100-000068040000}"/>
                </a:ext>
              </a:extLst>
            </xdr:cNvPr>
            <xdr:cNvSpPr>
              <a:spLocks noChangeArrowheads="1"/>
            </xdr:cNvSpPr>
          </xdr:nvSpPr>
          <xdr:spPr bwMode="auto">
            <a:xfrm>
              <a:off x="711"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9" name="Line 105">
              <a:extLst>
                <a:ext uri="{FF2B5EF4-FFF2-40B4-BE49-F238E27FC236}">
                  <a16:creationId xmlns:a16="http://schemas.microsoft.com/office/drawing/2014/main" id="{00000000-0008-0000-0100-000069040000}"/>
                </a:ext>
              </a:extLst>
            </xdr:cNvPr>
            <xdr:cNvSpPr>
              <a:spLocks noChangeShapeType="1"/>
            </xdr:cNvSpPr>
          </xdr:nvSpPr>
          <xdr:spPr bwMode="auto">
            <a:xfrm>
              <a:off x="733"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30" name="Rectangle 106">
              <a:extLst>
                <a:ext uri="{FF2B5EF4-FFF2-40B4-BE49-F238E27FC236}">
                  <a16:creationId xmlns:a16="http://schemas.microsoft.com/office/drawing/2014/main" id="{00000000-0008-0000-0100-00006A040000}"/>
                </a:ext>
              </a:extLst>
            </xdr:cNvPr>
            <xdr:cNvSpPr>
              <a:spLocks noChangeArrowheads="1"/>
            </xdr:cNvSpPr>
          </xdr:nvSpPr>
          <xdr:spPr bwMode="auto">
            <a:xfrm>
              <a:off x="733"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1" name="Line 107">
              <a:extLst>
                <a:ext uri="{FF2B5EF4-FFF2-40B4-BE49-F238E27FC236}">
                  <a16:creationId xmlns:a16="http://schemas.microsoft.com/office/drawing/2014/main" id="{00000000-0008-0000-0100-00006B040000}"/>
                </a:ext>
              </a:extLst>
            </xdr:cNvPr>
            <xdr:cNvSpPr>
              <a:spLocks noChangeShapeType="1"/>
            </xdr:cNvSpPr>
          </xdr:nvSpPr>
          <xdr:spPr bwMode="auto">
            <a:xfrm>
              <a:off x="755"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32" name="Rectangle 108">
              <a:extLst>
                <a:ext uri="{FF2B5EF4-FFF2-40B4-BE49-F238E27FC236}">
                  <a16:creationId xmlns:a16="http://schemas.microsoft.com/office/drawing/2014/main" id="{00000000-0008-0000-0100-00006C040000}"/>
                </a:ext>
              </a:extLst>
            </xdr:cNvPr>
            <xdr:cNvSpPr>
              <a:spLocks noChangeArrowheads="1"/>
            </xdr:cNvSpPr>
          </xdr:nvSpPr>
          <xdr:spPr bwMode="auto">
            <a:xfrm>
              <a:off x="755"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3" name="Line 109">
              <a:extLst>
                <a:ext uri="{FF2B5EF4-FFF2-40B4-BE49-F238E27FC236}">
                  <a16:creationId xmlns:a16="http://schemas.microsoft.com/office/drawing/2014/main" id="{00000000-0008-0000-0100-00006D040000}"/>
                </a:ext>
              </a:extLst>
            </xdr:cNvPr>
            <xdr:cNvSpPr>
              <a:spLocks noChangeShapeType="1"/>
            </xdr:cNvSpPr>
          </xdr:nvSpPr>
          <xdr:spPr bwMode="auto">
            <a:xfrm>
              <a:off x="777"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34" name="Rectangle 110">
              <a:extLst>
                <a:ext uri="{FF2B5EF4-FFF2-40B4-BE49-F238E27FC236}">
                  <a16:creationId xmlns:a16="http://schemas.microsoft.com/office/drawing/2014/main" id="{00000000-0008-0000-0100-00006E040000}"/>
                </a:ext>
              </a:extLst>
            </xdr:cNvPr>
            <xdr:cNvSpPr>
              <a:spLocks noChangeArrowheads="1"/>
            </xdr:cNvSpPr>
          </xdr:nvSpPr>
          <xdr:spPr bwMode="auto">
            <a:xfrm>
              <a:off x="777"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5" name="Line 111">
              <a:extLst>
                <a:ext uri="{FF2B5EF4-FFF2-40B4-BE49-F238E27FC236}">
                  <a16:creationId xmlns:a16="http://schemas.microsoft.com/office/drawing/2014/main" id="{00000000-0008-0000-0100-00006F040000}"/>
                </a:ext>
              </a:extLst>
            </xdr:cNvPr>
            <xdr:cNvSpPr>
              <a:spLocks noChangeShapeType="1"/>
            </xdr:cNvSpPr>
          </xdr:nvSpPr>
          <xdr:spPr bwMode="auto">
            <a:xfrm>
              <a:off x="799"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36" name="Rectangle 112">
              <a:extLst>
                <a:ext uri="{FF2B5EF4-FFF2-40B4-BE49-F238E27FC236}">
                  <a16:creationId xmlns:a16="http://schemas.microsoft.com/office/drawing/2014/main" id="{00000000-0008-0000-0100-000070040000}"/>
                </a:ext>
              </a:extLst>
            </xdr:cNvPr>
            <xdr:cNvSpPr>
              <a:spLocks noChangeArrowheads="1"/>
            </xdr:cNvSpPr>
          </xdr:nvSpPr>
          <xdr:spPr bwMode="auto">
            <a:xfrm>
              <a:off x="799"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7" name="Line 113">
              <a:extLst>
                <a:ext uri="{FF2B5EF4-FFF2-40B4-BE49-F238E27FC236}">
                  <a16:creationId xmlns:a16="http://schemas.microsoft.com/office/drawing/2014/main" id="{00000000-0008-0000-0100-000071040000}"/>
                </a:ext>
              </a:extLst>
            </xdr:cNvPr>
            <xdr:cNvSpPr>
              <a:spLocks noChangeShapeType="1"/>
            </xdr:cNvSpPr>
          </xdr:nvSpPr>
          <xdr:spPr bwMode="auto">
            <a:xfrm>
              <a:off x="821"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38" name="Rectangle 114">
              <a:extLst>
                <a:ext uri="{FF2B5EF4-FFF2-40B4-BE49-F238E27FC236}">
                  <a16:creationId xmlns:a16="http://schemas.microsoft.com/office/drawing/2014/main" id="{00000000-0008-0000-0100-000072040000}"/>
                </a:ext>
              </a:extLst>
            </xdr:cNvPr>
            <xdr:cNvSpPr>
              <a:spLocks noChangeArrowheads="1"/>
            </xdr:cNvSpPr>
          </xdr:nvSpPr>
          <xdr:spPr bwMode="auto">
            <a:xfrm>
              <a:off x="821"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9" name="Line 115">
              <a:extLst>
                <a:ext uri="{FF2B5EF4-FFF2-40B4-BE49-F238E27FC236}">
                  <a16:creationId xmlns:a16="http://schemas.microsoft.com/office/drawing/2014/main" id="{00000000-0008-0000-0100-000073040000}"/>
                </a:ext>
              </a:extLst>
            </xdr:cNvPr>
            <xdr:cNvSpPr>
              <a:spLocks noChangeShapeType="1"/>
            </xdr:cNvSpPr>
          </xdr:nvSpPr>
          <xdr:spPr bwMode="auto">
            <a:xfrm>
              <a:off x="843"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40" name="Rectangle 116">
              <a:extLst>
                <a:ext uri="{FF2B5EF4-FFF2-40B4-BE49-F238E27FC236}">
                  <a16:creationId xmlns:a16="http://schemas.microsoft.com/office/drawing/2014/main" id="{00000000-0008-0000-0100-000074040000}"/>
                </a:ext>
              </a:extLst>
            </xdr:cNvPr>
            <xdr:cNvSpPr>
              <a:spLocks noChangeArrowheads="1"/>
            </xdr:cNvSpPr>
          </xdr:nvSpPr>
          <xdr:spPr bwMode="auto">
            <a:xfrm>
              <a:off x="843"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1" name="Line 117">
              <a:extLst>
                <a:ext uri="{FF2B5EF4-FFF2-40B4-BE49-F238E27FC236}">
                  <a16:creationId xmlns:a16="http://schemas.microsoft.com/office/drawing/2014/main" id="{00000000-0008-0000-0100-000075040000}"/>
                </a:ext>
              </a:extLst>
            </xdr:cNvPr>
            <xdr:cNvSpPr>
              <a:spLocks noChangeShapeType="1"/>
            </xdr:cNvSpPr>
          </xdr:nvSpPr>
          <xdr:spPr bwMode="auto">
            <a:xfrm>
              <a:off x="865"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42" name="Rectangle 118">
              <a:extLst>
                <a:ext uri="{FF2B5EF4-FFF2-40B4-BE49-F238E27FC236}">
                  <a16:creationId xmlns:a16="http://schemas.microsoft.com/office/drawing/2014/main" id="{00000000-0008-0000-0100-000076040000}"/>
                </a:ext>
              </a:extLst>
            </xdr:cNvPr>
            <xdr:cNvSpPr>
              <a:spLocks noChangeArrowheads="1"/>
            </xdr:cNvSpPr>
          </xdr:nvSpPr>
          <xdr:spPr bwMode="auto">
            <a:xfrm>
              <a:off x="865"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3" name="Line 119">
              <a:extLst>
                <a:ext uri="{FF2B5EF4-FFF2-40B4-BE49-F238E27FC236}">
                  <a16:creationId xmlns:a16="http://schemas.microsoft.com/office/drawing/2014/main" id="{00000000-0008-0000-0100-000077040000}"/>
                </a:ext>
              </a:extLst>
            </xdr:cNvPr>
            <xdr:cNvSpPr>
              <a:spLocks noChangeShapeType="1"/>
            </xdr:cNvSpPr>
          </xdr:nvSpPr>
          <xdr:spPr bwMode="auto">
            <a:xfrm>
              <a:off x="887"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44" name="Rectangle 120">
              <a:extLst>
                <a:ext uri="{FF2B5EF4-FFF2-40B4-BE49-F238E27FC236}">
                  <a16:creationId xmlns:a16="http://schemas.microsoft.com/office/drawing/2014/main" id="{00000000-0008-0000-0100-000078040000}"/>
                </a:ext>
              </a:extLst>
            </xdr:cNvPr>
            <xdr:cNvSpPr>
              <a:spLocks noChangeArrowheads="1"/>
            </xdr:cNvSpPr>
          </xdr:nvSpPr>
          <xdr:spPr bwMode="auto">
            <a:xfrm>
              <a:off x="887"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5" name="Line 121">
              <a:extLst>
                <a:ext uri="{FF2B5EF4-FFF2-40B4-BE49-F238E27FC236}">
                  <a16:creationId xmlns:a16="http://schemas.microsoft.com/office/drawing/2014/main" id="{00000000-0008-0000-0100-000079040000}"/>
                </a:ext>
              </a:extLst>
            </xdr:cNvPr>
            <xdr:cNvSpPr>
              <a:spLocks noChangeShapeType="1"/>
            </xdr:cNvSpPr>
          </xdr:nvSpPr>
          <xdr:spPr bwMode="auto">
            <a:xfrm>
              <a:off x="909"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46" name="Rectangle 122">
              <a:extLst>
                <a:ext uri="{FF2B5EF4-FFF2-40B4-BE49-F238E27FC236}">
                  <a16:creationId xmlns:a16="http://schemas.microsoft.com/office/drawing/2014/main" id="{00000000-0008-0000-0100-00007A040000}"/>
                </a:ext>
              </a:extLst>
            </xdr:cNvPr>
            <xdr:cNvSpPr>
              <a:spLocks noChangeArrowheads="1"/>
            </xdr:cNvSpPr>
          </xdr:nvSpPr>
          <xdr:spPr bwMode="auto">
            <a:xfrm>
              <a:off x="909"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7" name="Line 123">
              <a:extLst>
                <a:ext uri="{FF2B5EF4-FFF2-40B4-BE49-F238E27FC236}">
                  <a16:creationId xmlns:a16="http://schemas.microsoft.com/office/drawing/2014/main" id="{00000000-0008-0000-0100-00007B040000}"/>
                </a:ext>
              </a:extLst>
            </xdr:cNvPr>
            <xdr:cNvSpPr>
              <a:spLocks noChangeShapeType="1"/>
            </xdr:cNvSpPr>
          </xdr:nvSpPr>
          <xdr:spPr bwMode="auto">
            <a:xfrm>
              <a:off x="931"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48" name="Rectangle 124">
              <a:extLst>
                <a:ext uri="{FF2B5EF4-FFF2-40B4-BE49-F238E27FC236}">
                  <a16:creationId xmlns:a16="http://schemas.microsoft.com/office/drawing/2014/main" id="{00000000-0008-0000-0100-00007C040000}"/>
                </a:ext>
              </a:extLst>
            </xdr:cNvPr>
            <xdr:cNvSpPr>
              <a:spLocks noChangeArrowheads="1"/>
            </xdr:cNvSpPr>
          </xdr:nvSpPr>
          <xdr:spPr bwMode="auto">
            <a:xfrm>
              <a:off x="931"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9" name="Line 125">
              <a:extLst>
                <a:ext uri="{FF2B5EF4-FFF2-40B4-BE49-F238E27FC236}">
                  <a16:creationId xmlns:a16="http://schemas.microsoft.com/office/drawing/2014/main" id="{00000000-0008-0000-0100-00007D040000}"/>
                </a:ext>
              </a:extLst>
            </xdr:cNvPr>
            <xdr:cNvSpPr>
              <a:spLocks noChangeShapeType="1"/>
            </xdr:cNvSpPr>
          </xdr:nvSpPr>
          <xdr:spPr bwMode="auto">
            <a:xfrm>
              <a:off x="953"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50" name="Rectangle 126">
              <a:extLst>
                <a:ext uri="{FF2B5EF4-FFF2-40B4-BE49-F238E27FC236}">
                  <a16:creationId xmlns:a16="http://schemas.microsoft.com/office/drawing/2014/main" id="{00000000-0008-0000-0100-00007E040000}"/>
                </a:ext>
              </a:extLst>
            </xdr:cNvPr>
            <xdr:cNvSpPr>
              <a:spLocks noChangeArrowheads="1"/>
            </xdr:cNvSpPr>
          </xdr:nvSpPr>
          <xdr:spPr bwMode="auto">
            <a:xfrm>
              <a:off x="953"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1" name="Line 127">
              <a:extLst>
                <a:ext uri="{FF2B5EF4-FFF2-40B4-BE49-F238E27FC236}">
                  <a16:creationId xmlns:a16="http://schemas.microsoft.com/office/drawing/2014/main" id="{00000000-0008-0000-0100-00007F040000}"/>
                </a:ext>
              </a:extLst>
            </xdr:cNvPr>
            <xdr:cNvSpPr>
              <a:spLocks noChangeShapeType="1"/>
            </xdr:cNvSpPr>
          </xdr:nvSpPr>
          <xdr:spPr bwMode="auto">
            <a:xfrm>
              <a:off x="975"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52" name="Rectangle 128">
              <a:extLst>
                <a:ext uri="{FF2B5EF4-FFF2-40B4-BE49-F238E27FC236}">
                  <a16:creationId xmlns:a16="http://schemas.microsoft.com/office/drawing/2014/main" id="{00000000-0008-0000-0100-000080040000}"/>
                </a:ext>
              </a:extLst>
            </xdr:cNvPr>
            <xdr:cNvSpPr>
              <a:spLocks noChangeArrowheads="1"/>
            </xdr:cNvSpPr>
          </xdr:nvSpPr>
          <xdr:spPr bwMode="auto">
            <a:xfrm>
              <a:off x="975"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3" name="Line 129">
              <a:extLst>
                <a:ext uri="{FF2B5EF4-FFF2-40B4-BE49-F238E27FC236}">
                  <a16:creationId xmlns:a16="http://schemas.microsoft.com/office/drawing/2014/main" id="{00000000-0008-0000-0100-000081040000}"/>
                </a:ext>
              </a:extLst>
            </xdr:cNvPr>
            <xdr:cNvSpPr>
              <a:spLocks noChangeShapeType="1"/>
            </xdr:cNvSpPr>
          </xdr:nvSpPr>
          <xdr:spPr bwMode="auto">
            <a:xfrm>
              <a:off x="997"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54" name="Rectangle 130">
              <a:extLst>
                <a:ext uri="{FF2B5EF4-FFF2-40B4-BE49-F238E27FC236}">
                  <a16:creationId xmlns:a16="http://schemas.microsoft.com/office/drawing/2014/main" id="{00000000-0008-0000-0100-000082040000}"/>
                </a:ext>
              </a:extLst>
            </xdr:cNvPr>
            <xdr:cNvSpPr>
              <a:spLocks noChangeArrowheads="1"/>
            </xdr:cNvSpPr>
          </xdr:nvSpPr>
          <xdr:spPr bwMode="auto">
            <a:xfrm>
              <a:off x="997"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5" name="Line 131">
              <a:extLst>
                <a:ext uri="{FF2B5EF4-FFF2-40B4-BE49-F238E27FC236}">
                  <a16:creationId xmlns:a16="http://schemas.microsoft.com/office/drawing/2014/main" id="{00000000-0008-0000-0100-000083040000}"/>
                </a:ext>
              </a:extLst>
            </xdr:cNvPr>
            <xdr:cNvSpPr>
              <a:spLocks noChangeShapeType="1"/>
            </xdr:cNvSpPr>
          </xdr:nvSpPr>
          <xdr:spPr bwMode="auto">
            <a:xfrm>
              <a:off x="1019"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56" name="Rectangle 132">
              <a:extLst>
                <a:ext uri="{FF2B5EF4-FFF2-40B4-BE49-F238E27FC236}">
                  <a16:creationId xmlns:a16="http://schemas.microsoft.com/office/drawing/2014/main" id="{00000000-0008-0000-0100-000084040000}"/>
                </a:ext>
              </a:extLst>
            </xdr:cNvPr>
            <xdr:cNvSpPr>
              <a:spLocks noChangeArrowheads="1"/>
            </xdr:cNvSpPr>
          </xdr:nvSpPr>
          <xdr:spPr bwMode="auto">
            <a:xfrm>
              <a:off x="1019"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7" name="Line 133">
              <a:extLst>
                <a:ext uri="{FF2B5EF4-FFF2-40B4-BE49-F238E27FC236}">
                  <a16:creationId xmlns:a16="http://schemas.microsoft.com/office/drawing/2014/main" id="{00000000-0008-0000-0100-000085040000}"/>
                </a:ext>
              </a:extLst>
            </xdr:cNvPr>
            <xdr:cNvSpPr>
              <a:spLocks noChangeShapeType="1"/>
            </xdr:cNvSpPr>
          </xdr:nvSpPr>
          <xdr:spPr bwMode="auto">
            <a:xfrm>
              <a:off x="1041"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58" name="Rectangle 134">
              <a:extLst>
                <a:ext uri="{FF2B5EF4-FFF2-40B4-BE49-F238E27FC236}">
                  <a16:creationId xmlns:a16="http://schemas.microsoft.com/office/drawing/2014/main" id="{00000000-0008-0000-0100-000086040000}"/>
                </a:ext>
              </a:extLst>
            </xdr:cNvPr>
            <xdr:cNvSpPr>
              <a:spLocks noChangeArrowheads="1"/>
            </xdr:cNvSpPr>
          </xdr:nvSpPr>
          <xdr:spPr bwMode="auto">
            <a:xfrm>
              <a:off x="1041"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9" name="Line 135">
              <a:extLst>
                <a:ext uri="{FF2B5EF4-FFF2-40B4-BE49-F238E27FC236}">
                  <a16:creationId xmlns:a16="http://schemas.microsoft.com/office/drawing/2014/main" id="{00000000-0008-0000-0100-000087040000}"/>
                </a:ext>
              </a:extLst>
            </xdr:cNvPr>
            <xdr:cNvSpPr>
              <a:spLocks noChangeShapeType="1"/>
            </xdr:cNvSpPr>
          </xdr:nvSpPr>
          <xdr:spPr bwMode="auto">
            <a:xfrm>
              <a:off x="1063"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60" name="Rectangle 136">
              <a:extLst>
                <a:ext uri="{FF2B5EF4-FFF2-40B4-BE49-F238E27FC236}">
                  <a16:creationId xmlns:a16="http://schemas.microsoft.com/office/drawing/2014/main" id="{00000000-0008-0000-0100-000088040000}"/>
                </a:ext>
              </a:extLst>
            </xdr:cNvPr>
            <xdr:cNvSpPr>
              <a:spLocks noChangeArrowheads="1"/>
            </xdr:cNvSpPr>
          </xdr:nvSpPr>
          <xdr:spPr bwMode="auto">
            <a:xfrm>
              <a:off x="1063"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1" name="Line 137">
              <a:extLst>
                <a:ext uri="{FF2B5EF4-FFF2-40B4-BE49-F238E27FC236}">
                  <a16:creationId xmlns:a16="http://schemas.microsoft.com/office/drawing/2014/main" id="{00000000-0008-0000-0100-000089040000}"/>
                </a:ext>
              </a:extLst>
            </xdr:cNvPr>
            <xdr:cNvSpPr>
              <a:spLocks noChangeShapeType="1"/>
            </xdr:cNvSpPr>
          </xdr:nvSpPr>
          <xdr:spPr bwMode="auto">
            <a:xfrm>
              <a:off x="1086"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62" name="Rectangle 138">
              <a:extLst>
                <a:ext uri="{FF2B5EF4-FFF2-40B4-BE49-F238E27FC236}">
                  <a16:creationId xmlns:a16="http://schemas.microsoft.com/office/drawing/2014/main" id="{00000000-0008-0000-0100-00008A040000}"/>
                </a:ext>
              </a:extLst>
            </xdr:cNvPr>
            <xdr:cNvSpPr>
              <a:spLocks noChangeArrowheads="1"/>
            </xdr:cNvSpPr>
          </xdr:nvSpPr>
          <xdr:spPr bwMode="auto">
            <a:xfrm>
              <a:off x="1086"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3" name="Line 139">
              <a:extLst>
                <a:ext uri="{FF2B5EF4-FFF2-40B4-BE49-F238E27FC236}">
                  <a16:creationId xmlns:a16="http://schemas.microsoft.com/office/drawing/2014/main" id="{00000000-0008-0000-0100-00008B040000}"/>
                </a:ext>
              </a:extLst>
            </xdr:cNvPr>
            <xdr:cNvSpPr>
              <a:spLocks noChangeShapeType="1"/>
            </xdr:cNvSpPr>
          </xdr:nvSpPr>
          <xdr:spPr bwMode="auto">
            <a:xfrm>
              <a:off x="1108"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64" name="Rectangle 140">
              <a:extLst>
                <a:ext uri="{FF2B5EF4-FFF2-40B4-BE49-F238E27FC236}">
                  <a16:creationId xmlns:a16="http://schemas.microsoft.com/office/drawing/2014/main" id="{00000000-0008-0000-0100-00008C040000}"/>
                </a:ext>
              </a:extLst>
            </xdr:cNvPr>
            <xdr:cNvSpPr>
              <a:spLocks noChangeArrowheads="1"/>
            </xdr:cNvSpPr>
          </xdr:nvSpPr>
          <xdr:spPr bwMode="auto">
            <a:xfrm>
              <a:off x="1108"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5" name="Line 141">
              <a:extLst>
                <a:ext uri="{FF2B5EF4-FFF2-40B4-BE49-F238E27FC236}">
                  <a16:creationId xmlns:a16="http://schemas.microsoft.com/office/drawing/2014/main" id="{00000000-0008-0000-0100-00008D040000}"/>
                </a:ext>
              </a:extLst>
            </xdr:cNvPr>
            <xdr:cNvSpPr>
              <a:spLocks noChangeShapeType="1"/>
            </xdr:cNvSpPr>
          </xdr:nvSpPr>
          <xdr:spPr bwMode="auto">
            <a:xfrm>
              <a:off x="1130"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66" name="Rectangle 142">
              <a:extLst>
                <a:ext uri="{FF2B5EF4-FFF2-40B4-BE49-F238E27FC236}">
                  <a16:creationId xmlns:a16="http://schemas.microsoft.com/office/drawing/2014/main" id="{00000000-0008-0000-0100-00008E040000}"/>
                </a:ext>
              </a:extLst>
            </xdr:cNvPr>
            <xdr:cNvSpPr>
              <a:spLocks noChangeArrowheads="1"/>
            </xdr:cNvSpPr>
          </xdr:nvSpPr>
          <xdr:spPr bwMode="auto">
            <a:xfrm>
              <a:off x="1130"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7" name="Line 143">
              <a:extLst>
                <a:ext uri="{FF2B5EF4-FFF2-40B4-BE49-F238E27FC236}">
                  <a16:creationId xmlns:a16="http://schemas.microsoft.com/office/drawing/2014/main" id="{00000000-0008-0000-0100-00008F040000}"/>
                </a:ext>
              </a:extLst>
            </xdr:cNvPr>
            <xdr:cNvSpPr>
              <a:spLocks noChangeShapeType="1"/>
            </xdr:cNvSpPr>
          </xdr:nvSpPr>
          <xdr:spPr bwMode="auto">
            <a:xfrm>
              <a:off x="1130" y="1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68" name="Rectangle 144">
              <a:extLst>
                <a:ext uri="{FF2B5EF4-FFF2-40B4-BE49-F238E27FC236}">
                  <a16:creationId xmlns:a16="http://schemas.microsoft.com/office/drawing/2014/main" id="{00000000-0008-0000-0100-000090040000}"/>
                </a:ext>
              </a:extLst>
            </xdr:cNvPr>
            <xdr:cNvSpPr>
              <a:spLocks noChangeArrowheads="1"/>
            </xdr:cNvSpPr>
          </xdr:nvSpPr>
          <xdr:spPr bwMode="auto">
            <a:xfrm>
              <a:off x="1130"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9" name="Line 145">
              <a:extLst>
                <a:ext uri="{FF2B5EF4-FFF2-40B4-BE49-F238E27FC236}">
                  <a16:creationId xmlns:a16="http://schemas.microsoft.com/office/drawing/2014/main" id="{00000000-0008-0000-0100-000091040000}"/>
                </a:ext>
              </a:extLst>
            </xdr:cNvPr>
            <xdr:cNvSpPr>
              <a:spLocks noChangeShapeType="1"/>
            </xdr:cNvSpPr>
          </xdr:nvSpPr>
          <xdr:spPr bwMode="auto">
            <a:xfrm>
              <a:off x="1130" y="14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70" name="Rectangle 146">
              <a:extLst>
                <a:ext uri="{FF2B5EF4-FFF2-40B4-BE49-F238E27FC236}">
                  <a16:creationId xmlns:a16="http://schemas.microsoft.com/office/drawing/2014/main" id="{00000000-0008-0000-0100-000092040000}"/>
                </a:ext>
              </a:extLst>
            </xdr:cNvPr>
            <xdr:cNvSpPr>
              <a:spLocks noChangeArrowheads="1"/>
            </xdr:cNvSpPr>
          </xdr:nvSpPr>
          <xdr:spPr bwMode="auto">
            <a:xfrm>
              <a:off x="1130" y="14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1" name="Line 147">
              <a:extLst>
                <a:ext uri="{FF2B5EF4-FFF2-40B4-BE49-F238E27FC236}">
                  <a16:creationId xmlns:a16="http://schemas.microsoft.com/office/drawing/2014/main" id="{00000000-0008-0000-0100-000093040000}"/>
                </a:ext>
              </a:extLst>
            </xdr:cNvPr>
            <xdr:cNvSpPr>
              <a:spLocks noChangeShapeType="1"/>
            </xdr:cNvSpPr>
          </xdr:nvSpPr>
          <xdr:spPr bwMode="auto">
            <a:xfrm>
              <a:off x="1130" y="16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72" name="Rectangle 148">
              <a:extLst>
                <a:ext uri="{FF2B5EF4-FFF2-40B4-BE49-F238E27FC236}">
                  <a16:creationId xmlns:a16="http://schemas.microsoft.com/office/drawing/2014/main" id="{00000000-0008-0000-0100-000094040000}"/>
                </a:ext>
              </a:extLst>
            </xdr:cNvPr>
            <xdr:cNvSpPr>
              <a:spLocks noChangeArrowheads="1"/>
            </xdr:cNvSpPr>
          </xdr:nvSpPr>
          <xdr:spPr bwMode="auto">
            <a:xfrm>
              <a:off x="1130" y="16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3" name="Line 149">
              <a:extLst>
                <a:ext uri="{FF2B5EF4-FFF2-40B4-BE49-F238E27FC236}">
                  <a16:creationId xmlns:a16="http://schemas.microsoft.com/office/drawing/2014/main" id="{00000000-0008-0000-0100-000095040000}"/>
                </a:ext>
              </a:extLst>
            </xdr:cNvPr>
            <xdr:cNvSpPr>
              <a:spLocks noChangeShapeType="1"/>
            </xdr:cNvSpPr>
          </xdr:nvSpPr>
          <xdr:spPr bwMode="auto">
            <a:xfrm>
              <a:off x="1130" y="19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74" name="Rectangle 150">
              <a:extLst>
                <a:ext uri="{FF2B5EF4-FFF2-40B4-BE49-F238E27FC236}">
                  <a16:creationId xmlns:a16="http://schemas.microsoft.com/office/drawing/2014/main" id="{00000000-0008-0000-0100-000096040000}"/>
                </a:ext>
              </a:extLst>
            </xdr:cNvPr>
            <xdr:cNvSpPr>
              <a:spLocks noChangeArrowheads="1"/>
            </xdr:cNvSpPr>
          </xdr:nvSpPr>
          <xdr:spPr bwMode="auto">
            <a:xfrm>
              <a:off x="1130" y="19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5" name="Line 151">
              <a:extLst>
                <a:ext uri="{FF2B5EF4-FFF2-40B4-BE49-F238E27FC236}">
                  <a16:creationId xmlns:a16="http://schemas.microsoft.com/office/drawing/2014/main" id="{00000000-0008-0000-0100-000097040000}"/>
                </a:ext>
              </a:extLst>
            </xdr:cNvPr>
            <xdr:cNvSpPr>
              <a:spLocks noChangeShapeType="1"/>
            </xdr:cNvSpPr>
          </xdr:nvSpPr>
          <xdr:spPr bwMode="auto">
            <a:xfrm>
              <a:off x="1130" y="212"/>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76" name="Rectangle 152">
              <a:extLst>
                <a:ext uri="{FF2B5EF4-FFF2-40B4-BE49-F238E27FC236}">
                  <a16:creationId xmlns:a16="http://schemas.microsoft.com/office/drawing/2014/main" id="{00000000-0008-0000-0100-000098040000}"/>
                </a:ext>
              </a:extLst>
            </xdr:cNvPr>
            <xdr:cNvSpPr>
              <a:spLocks noChangeArrowheads="1"/>
            </xdr:cNvSpPr>
          </xdr:nvSpPr>
          <xdr:spPr bwMode="auto">
            <a:xfrm>
              <a:off x="1130" y="21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7" name="Line 153">
              <a:extLst>
                <a:ext uri="{FF2B5EF4-FFF2-40B4-BE49-F238E27FC236}">
                  <a16:creationId xmlns:a16="http://schemas.microsoft.com/office/drawing/2014/main" id="{00000000-0008-0000-0100-000099040000}"/>
                </a:ext>
              </a:extLst>
            </xdr:cNvPr>
            <xdr:cNvSpPr>
              <a:spLocks noChangeShapeType="1"/>
            </xdr:cNvSpPr>
          </xdr:nvSpPr>
          <xdr:spPr bwMode="auto">
            <a:xfrm>
              <a:off x="1130" y="234"/>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78" name="Rectangle 154">
              <a:extLst>
                <a:ext uri="{FF2B5EF4-FFF2-40B4-BE49-F238E27FC236}">
                  <a16:creationId xmlns:a16="http://schemas.microsoft.com/office/drawing/2014/main" id="{00000000-0008-0000-0100-00009A040000}"/>
                </a:ext>
              </a:extLst>
            </xdr:cNvPr>
            <xdr:cNvSpPr>
              <a:spLocks noChangeArrowheads="1"/>
            </xdr:cNvSpPr>
          </xdr:nvSpPr>
          <xdr:spPr bwMode="auto">
            <a:xfrm>
              <a:off x="1130" y="23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9" name="Line 155">
              <a:extLst>
                <a:ext uri="{FF2B5EF4-FFF2-40B4-BE49-F238E27FC236}">
                  <a16:creationId xmlns:a16="http://schemas.microsoft.com/office/drawing/2014/main" id="{00000000-0008-0000-0100-00009B040000}"/>
                </a:ext>
              </a:extLst>
            </xdr:cNvPr>
            <xdr:cNvSpPr>
              <a:spLocks noChangeShapeType="1"/>
            </xdr:cNvSpPr>
          </xdr:nvSpPr>
          <xdr:spPr bwMode="auto">
            <a:xfrm>
              <a:off x="1130" y="256"/>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80" name="Rectangle 156">
              <a:extLst>
                <a:ext uri="{FF2B5EF4-FFF2-40B4-BE49-F238E27FC236}">
                  <a16:creationId xmlns:a16="http://schemas.microsoft.com/office/drawing/2014/main" id="{00000000-0008-0000-0100-00009C040000}"/>
                </a:ext>
              </a:extLst>
            </xdr:cNvPr>
            <xdr:cNvSpPr>
              <a:spLocks noChangeArrowheads="1"/>
            </xdr:cNvSpPr>
          </xdr:nvSpPr>
          <xdr:spPr bwMode="auto">
            <a:xfrm>
              <a:off x="1130" y="25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1" name="Line 157">
              <a:extLst>
                <a:ext uri="{FF2B5EF4-FFF2-40B4-BE49-F238E27FC236}">
                  <a16:creationId xmlns:a16="http://schemas.microsoft.com/office/drawing/2014/main" id="{00000000-0008-0000-0100-00009D040000}"/>
                </a:ext>
              </a:extLst>
            </xdr:cNvPr>
            <xdr:cNvSpPr>
              <a:spLocks noChangeShapeType="1"/>
            </xdr:cNvSpPr>
          </xdr:nvSpPr>
          <xdr:spPr bwMode="auto">
            <a:xfrm>
              <a:off x="1130" y="278"/>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82" name="Rectangle 158">
              <a:extLst>
                <a:ext uri="{FF2B5EF4-FFF2-40B4-BE49-F238E27FC236}">
                  <a16:creationId xmlns:a16="http://schemas.microsoft.com/office/drawing/2014/main" id="{00000000-0008-0000-0100-00009E040000}"/>
                </a:ext>
              </a:extLst>
            </xdr:cNvPr>
            <xdr:cNvSpPr>
              <a:spLocks noChangeArrowheads="1"/>
            </xdr:cNvSpPr>
          </xdr:nvSpPr>
          <xdr:spPr bwMode="auto">
            <a:xfrm>
              <a:off x="1130" y="278"/>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3" name="Line 159">
              <a:extLst>
                <a:ext uri="{FF2B5EF4-FFF2-40B4-BE49-F238E27FC236}">
                  <a16:creationId xmlns:a16="http://schemas.microsoft.com/office/drawing/2014/main" id="{00000000-0008-0000-0100-00009F040000}"/>
                </a:ext>
              </a:extLst>
            </xdr:cNvPr>
            <xdr:cNvSpPr>
              <a:spLocks noChangeShapeType="1"/>
            </xdr:cNvSpPr>
          </xdr:nvSpPr>
          <xdr:spPr bwMode="auto">
            <a:xfrm>
              <a:off x="1130" y="30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84" name="Rectangle 160">
              <a:extLst>
                <a:ext uri="{FF2B5EF4-FFF2-40B4-BE49-F238E27FC236}">
                  <a16:creationId xmlns:a16="http://schemas.microsoft.com/office/drawing/2014/main" id="{00000000-0008-0000-0100-0000A0040000}"/>
                </a:ext>
              </a:extLst>
            </xdr:cNvPr>
            <xdr:cNvSpPr>
              <a:spLocks noChangeArrowheads="1"/>
            </xdr:cNvSpPr>
          </xdr:nvSpPr>
          <xdr:spPr bwMode="auto">
            <a:xfrm>
              <a:off x="1130" y="30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5" name="Line 161">
              <a:extLst>
                <a:ext uri="{FF2B5EF4-FFF2-40B4-BE49-F238E27FC236}">
                  <a16:creationId xmlns:a16="http://schemas.microsoft.com/office/drawing/2014/main" id="{00000000-0008-0000-0100-0000A1040000}"/>
                </a:ext>
              </a:extLst>
            </xdr:cNvPr>
            <xdr:cNvSpPr>
              <a:spLocks noChangeShapeType="1"/>
            </xdr:cNvSpPr>
          </xdr:nvSpPr>
          <xdr:spPr bwMode="auto">
            <a:xfrm>
              <a:off x="1130" y="3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86" name="Rectangle 162">
              <a:extLst>
                <a:ext uri="{FF2B5EF4-FFF2-40B4-BE49-F238E27FC236}">
                  <a16:creationId xmlns:a16="http://schemas.microsoft.com/office/drawing/2014/main" id="{00000000-0008-0000-0100-0000A2040000}"/>
                </a:ext>
              </a:extLst>
            </xdr:cNvPr>
            <xdr:cNvSpPr>
              <a:spLocks noChangeArrowheads="1"/>
            </xdr:cNvSpPr>
          </xdr:nvSpPr>
          <xdr:spPr bwMode="auto">
            <a:xfrm>
              <a:off x="1130" y="3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7" name="Line 163">
              <a:extLst>
                <a:ext uri="{FF2B5EF4-FFF2-40B4-BE49-F238E27FC236}">
                  <a16:creationId xmlns:a16="http://schemas.microsoft.com/office/drawing/2014/main" id="{00000000-0008-0000-0100-0000A3040000}"/>
                </a:ext>
              </a:extLst>
            </xdr:cNvPr>
            <xdr:cNvSpPr>
              <a:spLocks noChangeShapeType="1"/>
            </xdr:cNvSpPr>
          </xdr:nvSpPr>
          <xdr:spPr bwMode="auto">
            <a:xfrm>
              <a:off x="1130" y="34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88" name="Rectangle 164">
              <a:extLst>
                <a:ext uri="{FF2B5EF4-FFF2-40B4-BE49-F238E27FC236}">
                  <a16:creationId xmlns:a16="http://schemas.microsoft.com/office/drawing/2014/main" id="{00000000-0008-0000-0100-0000A4040000}"/>
                </a:ext>
              </a:extLst>
            </xdr:cNvPr>
            <xdr:cNvSpPr>
              <a:spLocks noChangeArrowheads="1"/>
            </xdr:cNvSpPr>
          </xdr:nvSpPr>
          <xdr:spPr bwMode="auto">
            <a:xfrm>
              <a:off x="1130" y="34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9" name="Line 165">
              <a:extLst>
                <a:ext uri="{FF2B5EF4-FFF2-40B4-BE49-F238E27FC236}">
                  <a16:creationId xmlns:a16="http://schemas.microsoft.com/office/drawing/2014/main" id="{00000000-0008-0000-0100-0000A5040000}"/>
                </a:ext>
              </a:extLst>
            </xdr:cNvPr>
            <xdr:cNvSpPr>
              <a:spLocks noChangeShapeType="1"/>
            </xdr:cNvSpPr>
          </xdr:nvSpPr>
          <xdr:spPr bwMode="auto">
            <a:xfrm>
              <a:off x="1130" y="36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90" name="Rectangle 166">
              <a:extLst>
                <a:ext uri="{FF2B5EF4-FFF2-40B4-BE49-F238E27FC236}">
                  <a16:creationId xmlns:a16="http://schemas.microsoft.com/office/drawing/2014/main" id="{00000000-0008-0000-0100-0000A6040000}"/>
                </a:ext>
              </a:extLst>
            </xdr:cNvPr>
            <xdr:cNvSpPr>
              <a:spLocks noChangeArrowheads="1"/>
            </xdr:cNvSpPr>
          </xdr:nvSpPr>
          <xdr:spPr bwMode="auto">
            <a:xfrm>
              <a:off x="1130" y="36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1" name="Line 167">
              <a:extLst>
                <a:ext uri="{FF2B5EF4-FFF2-40B4-BE49-F238E27FC236}">
                  <a16:creationId xmlns:a16="http://schemas.microsoft.com/office/drawing/2014/main" id="{00000000-0008-0000-0100-0000A7040000}"/>
                </a:ext>
              </a:extLst>
            </xdr:cNvPr>
            <xdr:cNvSpPr>
              <a:spLocks noChangeShapeType="1"/>
            </xdr:cNvSpPr>
          </xdr:nvSpPr>
          <xdr:spPr bwMode="auto">
            <a:xfrm>
              <a:off x="1130" y="38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92" name="Rectangle 168">
              <a:extLst>
                <a:ext uri="{FF2B5EF4-FFF2-40B4-BE49-F238E27FC236}">
                  <a16:creationId xmlns:a16="http://schemas.microsoft.com/office/drawing/2014/main" id="{00000000-0008-0000-0100-0000A8040000}"/>
                </a:ext>
              </a:extLst>
            </xdr:cNvPr>
            <xdr:cNvSpPr>
              <a:spLocks noChangeArrowheads="1"/>
            </xdr:cNvSpPr>
          </xdr:nvSpPr>
          <xdr:spPr bwMode="auto">
            <a:xfrm>
              <a:off x="1130" y="38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3" name="Line 169">
              <a:extLst>
                <a:ext uri="{FF2B5EF4-FFF2-40B4-BE49-F238E27FC236}">
                  <a16:creationId xmlns:a16="http://schemas.microsoft.com/office/drawing/2014/main" id="{00000000-0008-0000-0100-0000A9040000}"/>
                </a:ext>
              </a:extLst>
            </xdr:cNvPr>
            <xdr:cNvSpPr>
              <a:spLocks noChangeShapeType="1"/>
            </xdr:cNvSpPr>
          </xdr:nvSpPr>
          <xdr:spPr bwMode="auto">
            <a:xfrm>
              <a:off x="1130" y="412"/>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94" name="Rectangle 170">
              <a:extLst>
                <a:ext uri="{FF2B5EF4-FFF2-40B4-BE49-F238E27FC236}">
                  <a16:creationId xmlns:a16="http://schemas.microsoft.com/office/drawing/2014/main" id="{00000000-0008-0000-0100-0000AA040000}"/>
                </a:ext>
              </a:extLst>
            </xdr:cNvPr>
            <xdr:cNvSpPr>
              <a:spLocks noChangeArrowheads="1"/>
            </xdr:cNvSpPr>
          </xdr:nvSpPr>
          <xdr:spPr bwMode="auto">
            <a:xfrm>
              <a:off x="1130" y="41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5" name="Line 171">
              <a:extLst>
                <a:ext uri="{FF2B5EF4-FFF2-40B4-BE49-F238E27FC236}">
                  <a16:creationId xmlns:a16="http://schemas.microsoft.com/office/drawing/2014/main" id="{00000000-0008-0000-0100-0000AB040000}"/>
                </a:ext>
              </a:extLst>
            </xdr:cNvPr>
            <xdr:cNvSpPr>
              <a:spLocks noChangeShapeType="1"/>
            </xdr:cNvSpPr>
          </xdr:nvSpPr>
          <xdr:spPr bwMode="auto">
            <a:xfrm>
              <a:off x="1130" y="434"/>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96" name="Rectangle 172">
              <a:extLst>
                <a:ext uri="{FF2B5EF4-FFF2-40B4-BE49-F238E27FC236}">
                  <a16:creationId xmlns:a16="http://schemas.microsoft.com/office/drawing/2014/main" id="{00000000-0008-0000-0100-0000AC040000}"/>
                </a:ext>
              </a:extLst>
            </xdr:cNvPr>
            <xdr:cNvSpPr>
              <a:spLocks noChangeArrowheads="1"/>
            </xdr:cNvSpPr>
          </xdr:nvSpPr>
          <xdr:spPr bwMode="auto">
            <a:xfrm>
              <a:off x="1130" y="43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7" name="Line 173">
              <a:extLst>
                <a:ext uri="{FF2B5EF4-FFF2-40B4-BE49-F238E27FC236}">
                  <a16:creationId xmlns:a16="http://schemas.microsoft.com/office/drawing/2014/main" id="{00000000-0008-0000-0100-0000AD040000}"/>
                </a:ext>
              </a:extLst>
            </xdr:cNvPr>
            <xdr:cNvSpPr>
              <a:spLocks noChangeShapeType="1"/>
            </xdr:cNvSpPr>
          </xdr:nvSpPr>
          <xdr:spPr bwMode="auto">
            <a:xfrm>
              <a:off x="1130" y="456"/>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98" name="Rectangle 174">
              <a:extLst>
                <a:ext uri="{FF2B5EF4-FFF2-40B4-BE49-F238E27FC236}">
                  <a16:creationId xmlns:a16="http://schemas.microsoft.com/office/drawing/2014/main" id="{00000000-0008-0000-0100-0000AE040000}"/>
                </a:ext>
              </a:extLst>
            </xdr:cNvPr>
            <xdr:cNvSpPr>
              <a:spLocks noChangeArrowheads="1"/>
            </xdr:cNvSpPr>
          </xdr:nvSpPr>
          <xdr:spPr bwMode="auto">
            <a:xfrm>
              <a:off x="1130" y="45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9" name="Line 175">
              <a:extLst>
                <a:ext uri="{FF2B5EF4-FFF2-40B4-BE49-F238E27FC236}">
                  <a16:creationId xmlns:a16="http://schemas.microsoft.com/office/drawing/2014/main" id="{00000000-0008-0000-0100-0000AF040000}"/>
                </a:ext>
              </a:extLst>
            </xdr:cNvPr>
            <xdr:cNvSpPr>
              <a:spLocks noChangeShapeType="1"/>
            </xdr:cNvSpPr>
          </xdr:nvSpPr>
          <xdr:spPr bwMode="auto">
            <a:xfrm>
              <a:off x="1130" y="478"/>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00" name="Rectangle 176">
              <a:extLst>
                <a:ext uri="{FF2B5EF4-FFF2-40B4-BE49-F238E27FC236}">
                  <a16:creationId xmlns:a16="http://schemas.microsoft.com/office/drawing/2014/main" id="{00000000-0008-0000-0100-0000B0040000}"/>
                </a:ext>
              </a:extLst>
            </xdr:cNvPr>
            <xdr:cNvSpPr>
              <a:spLocks noChangeArrowheads="1"/>
            </xdr:cNvSpPr>
          </xdr:nvSpPr>
          <xdr:spPr bwMode="auto">
            <a:xfrm>
              <a:off x="1130" y="478"/>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1" name="Line 177">
              <a:extLst>
                <a:ext uri="{FF2B5EF4-FFF2-40B4-BE49-F238E27FC236}">
                  <a16:creationId xmlns:a16="http://schemas.microsoft.com/office/drawing/2014/main" id="{00000000-0008-0000-0100-0000B1040000}"/>
                </a:ext>
              </a:extLst>
            </xdr:cNvPr>
            <xdr:cNvSpPr>
              <a:spLocks noChangeShapeType="1"/>
            </xdr:cNvSpPr>
          </xdr:nvSpPr>
          <xdr:spPr bwMode="auto">
            <a:xfrm>
              <a:off x="1130" y="50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02" name="Rectangle 178">
              <a:extLst>
                <a:ext uri="{FF2B5EF4-FFF2-40B4-BE49-F238E27FC236}">
                  <a16:creationId xmlns:a16="http://schemas.microsoft.com/office/drawing/2014/main" id="{00000000-0008-0000-0100-0000B2040000}"/>
                </a:ext>
              </a:extLst>
            </xdr:cNvPr>
            <xdr:cNvSpPr>
              <a:spLocks noChangeArrowheads="1"/>
            </xdr:cNvSpPr>
          </xdr:nvSpPr>
          <xdr:spPr bwMode="auto">
            <a:xfrm>
              <a:off x="1130" y="5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3" name="Line 179">
              <a:extLst>
                <a:ext uri="{FF2B5EF4-FFF2-40B4-BE49-F238E27FC236}">
                  <a16:creationId xmlns:a16="http://schemas.microsoft.com/office/drawing/2014/main" id="{00000000-0008-0000-0100-0000B3040000}"/>
                </a:ext>
              </a:extLst>
            </xdr:cNvPr>
            <xdr:cNvSpPr>
              <a:spLocks noChangeShapeType="1"/>
            </xdr:cNvSpPr>
          </xdr:nvSpPr>
          <xdr:spPr bwMode="auto">
            <a:xfrm>
              <a:off x="1130" y="52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04" name="Rectangle 180">
              <a:extLst>
                <a:ext uri="{FF2B5EF4-FFF2-40B4-BE49-F238E27FC236}">
                  <a16:creationId xmlns:a16="http://schemas.microsoft.com/office/drawing/2014/main" id="{00000000-0008-0000-0100-0000B4040000}"/>
                </a:ext>
              </a:extLst>
            </xdr:cNvPr>
            <xdr:cNvSpPr>
              <a:spLocks noChangeArrowheads="1"/>
            </xdr:cNvSpPr>
          </xdr:nvSpPr>
          <xdr:spPr bwMode="auto">
            <a:xfrm>
              <a:off x="1130" y="5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5" name="Line 181">
              <a:extLst>
                <a:ext uri="{FF2B5EF4-FFF2-40B4-BE49-F238E27FC236}">
                  <a16:creationId xmlns:a16="http://schemas.microsoft.com/office/drawing/2014/main" id="{00000000-0008-0000-0100-0000B5040000}"/>
                </a:ext>
              </a:extLst>
            </xdr:cNvPr>
            <xdr:cNvSpPr>
              <a:spLocks noChangeShapeType="1"/>
            </xdr:cNvSpPr>
          </xdr:nvSpPr>
          <xdr:spPr bwMode="auto">
            <a:xfrm>
              <a:off x="537" y="257"/>
              <a:ext cx="0" cy="44"/>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206" name="Rectangle 182">
              <a:extLst>
                <a:ext uri="{FF2B5EF4-FFF2-40B4-BE49-F238E27FC236}">
                  <a16:creationId xmlns:a16="http://schemas.microsoft.com/office/drawing/2014/main" id="{00000000-0008-0000-0100-0000B6040000}"/>
                </a:ext>
              </a:extLst>
            </xdr:cNvPr>
            <xdr:cNvSpPr>
              <a:spLocks noChangeArrowheads="1"/>
            </xdr:cNvSpPr>
          </xdr:nvSpPr>
          <xdr:spPr bwMode="auto">
            <a:xfrm>
              <a:off x="562" y="223"/>
              <a:ext cx="77" cy="55"/>
            </a:xfrm>
            <a:prstGeom prst="rect">
              <a:avLst/>
            </a:prstGeom>
            <a:solidFill>
              <a:srgbClr val="BFBFB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7" name="Rectangle 183">
              <a:extLst>
                <a:ext uri="{FF2B5EF4-FFF2-40B4-BE49-F238E27FC236}">
                  <a16:creationId xmlns:a16="http://schemas.microsoft.com/office/drawing/2014/main" id="{00000000-0008-0000-0100-0000B7040000}"/>
                </a:ext>
              </a:extLst>
            </xdr:cNvPr>
            <xdr:cNvSpPr>
              <a:spLocks noChangeArrowheads="1"/>
            </xdr:cNvSpPr>
          </xdr:nvSpPr>
          <xdr:spPr bwMode="auto">
            <a:xfrm>
              <a:off x="562" y="223"/>
              <a:ext cx="77" cy="55"/>
            </a:xfrm>
            <a:prstGeom prst="rect">
              <a:avLst/>
            </a:prstGeom>
            <a:noFill/>
            <a:ln w="9525"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08" name="Rectangle 184">
              <a:extLst>
                <a:ext uri="{FF2B5EF4-FFF2-40B4-BE49-F238E27FC236}">
                  <a16:creationId xmlns:a16="http://schemas.microsoft.com/office/drawing/2014/main" id="{00000000-0008-0000-0100-0000B8040000}"/>
                </a:ext>
              </a:extLst>
            </xdr:cNvPr>
            <xdr:cNvSpPr>
              <a:spLocks noChangeArrowheads="1"/>
            </xdr:cNvSpPr>
          </xdr:nvSpPr>
          <xdr:spPr bwMode="auto">
            <a:xfrm>
              <a:off x="212" y="278"/>
              <a:ext cx="198" cy="1"/>
            </a:xfrm>
            <a:prstGeom prst="rect">
              <a:avLst/>
            </a:prstGeom>
            <a:solidFill>
              <a:srgbClr val="DEEBF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9" name="Rectangle 185">
              <a:extLst>
                <a:ext uri="{FF2B5EF4-FFF2-40B4-BE49-F238E27FC236}">
                  <a16:creationId xmlns:a16="http://schemas.microsoft.com/office/drawing/2014/main" id="{00000000-0008-0000-0100-0000B9040000}"/>
                </a:ext>
              </a:extLst>
            </xdr:cNvPr>
            <xdr:cNvSpPr>
              <a:spLocks noChangeArrowheads="1"/>
            </xdr:cNvSpPr>
          </xdr:nvSpPr>
          <xdr:spPr bwMode="auto">
            <a:xfrm>
              <a:off x="212" y="279"/>
              <a:ext cx="198" cy="2"/>
            </a:xfrm>
            <a:prstGeom prst="rect">
              <a:avLst/>
            </a:prstGeom>
            <a:solidFill>
              <a:srgbClr val="DCEAF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0" name="Rectangle 186">
              <a:extLst>
                <a:ext uri="{FF2B5EF4-FFF2-40B4-BE49-F238E27FC236}">
                  <a16:creationId xmlns:a16="http://schemas.microsoft.com/office/drawing/2014/main" id="{00000000-0008-0000-0100-0000BA040000}"/>
                </a:ext>
              </a:extLst>
            </xdr:cNvPr>
            <xdr:cNvSpPr>
              <a:spLocks noChangeArrowheads="1"/>
            </xdr:cNvSpPr>
          </xdr:nvSpPr>
          <xdr:spPr bwMode="auto">
            <a:xfrm>
              <a:off x="212" y="281"/>
              <a:ext cx="198" cy="1"/>
            </a:xfrm>
            <a:prstGeom prst="rect">
              <a:avLst/>
            </a:prstGeom>
            <a:solidFill>
              <a:srgbClr val="DAE9F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1" name="Rectangle 187">
              <a:extLst>
                <a:ext uri="{FF2B5EF4-FFF2-40B4-BE49-F238E27FC236}">
                  <a16:creationId xmlns:a16="http://schemas.microsoft.com/office/drawing/2014/main" id="{00000000-0008-0000-0100-0000BB040000}"/>
                </a:ext>
              </a:extLst>
            </xdr:cNvPr>
            <xdr:cNvSpPr>
              <a:spLocks noChangeArrowheads="1"/>
            </xdr:cNvSpPr>
          </xdr:nvSpPr>
          <xdr:spPr bwMode="auto">
            <a:xfrm>
              <a:off x="212" y="282"/>
              <a:ext cx="198" cy="2"/>
            </a:xfrm>
            <a:prstGeom prst="rect">
              <a:avLst/>
            </a:prstGeom>
            <a:solidFill>
              <a:srgbClr val="D8E8F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2" name="Rectangle 188">
              <a:extLst>
                <a:ext uri="{FF2B5EF4-FFF2-40B4-BE49-F238E27FC236}">
                  <a16:creationId xmlns:a16="http://schemas.microsoft.com/office/drawing/2014/main" id="{00000000-0008-0000-0100-0000BC040000}"/>
                </a:ext>
              </a:extLst>
            </xdr:cNvPr>
            <xdr:cNvSpPr>
              <a:spLocks noChangeArrowheads="1"/>
            </xdr:cNvSpPr>
          </xdr:nvSpPr>
          <xdr:spPr bwMode="auto">
            <a:xfrm>
              <a:off x="212" y="284"/>
              <a:ext cx="198" cy="2"/>
            </a:xfrm>
            <a:prstGeom prst="rect">
              <a:avLst/>
            </a:prstGeom>
            <a:solidFill>
              <a:srgbClr val="D6E6F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3" name="Rectangle 189">
              <a:extLst>
                <a:ext uri="{FF2B5EF4-FFF2-40B4-BE49-F238E27FC236}">
                  <a16:creationId xmlns:a16="http://schemas.microsoft.com/office/drawing/2014/main" id="{00000000-0008-0000-0100-0000BD040000}"/>
                </a:ext>
              </a:extLst>
            </xdr:cNvPr>
            <xdr:cNvSpPr>
              <a:spLocks noChangeArrowheads="1"/>
            </xdr:cNvSpPr>
          </xdr:nvSpPr>
          <xdr:spPr bwMode="auto">
            <a:xfrm>
              <a:off x="212" y="286"/>
              <a:ext cx="198" cy="2"/>
            </a:xfrm>
            <a:prstGeom prst="rect">
              <a:avLst/>
            </a:prstGeom>
            <a:solidFill>
              <a:srgbClr val="D4E5F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4" name="Rectangle 190">
              <a:extLst>
                <a:ext uri="{FF2B5EF4-FFF2-40B4-BE49-F238E27FC236}">
                  <a16:creationId xmlns:a16="http://schemas.microsoft.com/office/drawing/2014/main" id="{00000000-0008-0000-0100-0000BE040000}"/>
                </a:ext>
              </a:extLst>
            </xdr:cNvPr>
            <xdr:cNvSpPr>
              <a:spLocks noChangeArrowheads="1"/>
            </xdr:cNvSpPr>
          </xdr:nvSpPr>
          <xdr:spPr bwMode="auto">
            <a:xfrm>
              <a:off x="212" y="288"/>
              <a:ext cx="198" cy="1"/>
            </a:xfrm>
            <a:prstGeom prst="rect">
              <a:avLst/>
            </a:prstGeom>
            <a:solidFill>
              <a:srgbClr val="D2E4F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5" name="Rectangle 191">
              <a:extLst>
                <a:ext uri="{FF2B5EF4-FFF2-40B4-BE49-F238E27FC236}">
                  <a16:creationId xmlns:a16="http://schemas.microsoft.com/office/drawing/2014/main" id="{00000000-0008-0000-0100-0000BF040000}"/>
                </a:ext>
              </a:extLst>
            </xdr:cNvPr>
            <xdr:cNvSpPr>
              <a:spLocks noChangeArrowheads="1"/>
            </xdr:cNvSpPr>
          </xdr:nvSpPr>
          <xdr:spPr bwMode="auto">
            <a:xfrm>
              <a:off x="212" y="289"/>
              <a:ext cx="198" cy="2"/>
            </a:xfrm>
            <a:prstGeom prst="rect">
              <a:avLst/>
            </a:prstGeom>
            <a:solidFill>
              <a:srgbClr val="D0E3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6" name="Rectangle 192">
              <a:extLst>
                <a:ext uri="{FF2B5EF4-FFF2-40B4-BE49-F238E27FC236}">
                  <a16:creationId xmlns:a16="http://schemas.microsoft.com/office/drawing/2014/main" id="{00000000-0008-0000-0100-0000C0040000}"/>
                </a:ext>
              </a:extLst>
            </xdr:cNvPr>
            <xdr:cNvSpPr>
              <a:spLocks noChangeArrowheads="1"/>
            </xdr:cNvSpPr>
          </xdr:nvSpPr>
          <xdr:spPr bwMode="auto">
            <a:xfrm>
              <a:off x="212" y="291"/>
              <a:ext cx="198" cy="2"/>
            </a:xfrm>
            <a:prstGeom prst="rect">
              <a:avLst/>
            </a:prstGeom>
            <a:solidFill>
              <a:srgbClr val="CEE1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7" name="Rectangle 193">
              <a:extLst>
                <a:ext uri="{FF2B5EF4-FFF2-40B4-BE49-F238E27FC236}">
                  <a16:creationId xmlns:a16="http://schemas.microsoft.com/office/drawing/2014/main" id="{00000000-0008-0000-0100-0000C1040000}"/>
                </a:ext>
              </a:extLst>
            </xdr:cNvPr>
            <xdr:cNvSpPr>
              <a:spLocks noChangeArrowheads="1"/>
            </xdr:cNvSpPr>
          </xdr:nvSpPr>
          <xdr:spPr bwMode="auto">
            <a:xfrm>
              <a:off x="212" y="293"/>
              <a:ext cx="198" cy="1"/>
            </a:xfrm>
            <a:prstGeom prst="rect">
              <a:avLst/>
            </a:prstGeom>
            <a:solidFill>
              <a:srgbClr val="CCE0F2"/>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8" name="Rectangle 194">
              <a:extLst>
                <a:ext uri="{FF2B5EF4-FFF2-40B4-BE49-F238E27FC236}">
                  <a16:creationId xmlns:a16="http://schemas.microsoft.com/office/drawing/2014/main" id="{00000000-0008-0000-0100-0000C2040000}"/>
                </a:ext>
              </a:extLst>
            </xdr:cNvPr>
            <xdr:cNvSpPr>
              <a:spLocks noChangeArrowheads="1"/>
            </xdr:cNvSpPr>
          </xdr:nvSpPr>
          <xdr:spPr bwMode="auto">
            <a:xfrm>
              <a:off x="212" y="294"/>
              <a:ext cx="198" cy="2"/>
            </a:xfrm>
            <a:prstGeom prst="rect">
              <a:avLst/>
            </a:prstGeom>
            <a:solidFill>
              <a:srgbClr val="CADFF2"/>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9" name="Rectangle 195">
              <a:extLst>
                <a:ext uri="{FF2B5EF4-FFF2-40B4-BE49-F238E27FC236}">
                  <a16:creationId xmlns:a16="http://schemas.microsoft.com/office/drawing/2014/main" id="{00000000-0008-0000-0100-0000C3040000}"/>
                </a:ext>
              </a:extLst>
            </xdr:cNvPr>
            <xdr:cNvSpPr>
              <a:spLocks noChangeArrowheads="1"/>
            </xdr:cNvSpPr>
          </xdr:nvSpPr>
          <xdr:spPr bwMode="auto">
            <a:xfrm>
              <a:off x="212" y="296"/>
              <a:ext cx="198" cy="2"/>
            </a:xfrm>
            <a:prstGeom prst="rect">
              <a:avLst/>
            </a:prstGeom>
            <a:solidFill>
              <a:srgbClr val="C8DEF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0" name="Rectangle 196">
              <a:extLst>
                <a:ext uri="{FF2B5EF4-FFF2-40B4-BE49-F238E27FC236}">
                  <a16:creationId xmlns:a16="http://schemas.microsoft.com/office/drawing/2014/main" id="{00000000-0008-0000-0100-0000C4040000}"/>
                </a:ext>
              </a:extLst>
            </xdr:cNvPr>
            <xdr:cNvSpPr>
              <a:spLocks noChangeArrowheads="1"/>
            </xdr:cNvSpPr>
          </xdr:nvSpPr>
          <xdr:spPr bwMode="auto">
            <a:xfrm>
              <a:off x="212" y="298"/>
              <a:ext cx="198" cy="1"/>
            </a:xfrm>
            <a:prstGeom prst="rect">
              <a:avLst/>
            </a:prstGeom>
            <a:solidFill>
              <a:srgbClr val="C6DDF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1" name="Rectangle 197">
              <a:extLst>
                <a:ext uri="{FF2B5EF4-FFF2-40B4-BE49-F238E27FC236}">
                  <a16:creationId xmlns:a16="http://schemas.microsoft.com/office/drawing/2014/main" id="{00000000-0008-0000-0100-0000C5040000}"/>
                </a:ext>
              </a:extLst>
            </xdr:cNvPr>
            <xdr:cNvSpPr>
              <a:spLocks noChangeArrowheads="1"/>
            </xdr:cNvSpPr>
          </xdr:nvSpPr>
          <xdr:spPr bwMode="auto">
            <a:xfrm>
              <a:off x="212" y="299"/>
              <a:ext cx="198" cy="2"/>
            </a:xfrm>
            <a:prstGeom prst="rect">
              <a:avLst/>
            </a:prstGeom>
            <a:solidFill>
              <a:srgbClr val="C4DBF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2" name="Rectangle 198">
              <a:extLst>
                <a:ext uri="{FF2B5EF4-FFF2-40B4-BE49-F238E27FC236}">
                  <a16:creationId xmlns:a16="http://schemas.microsoft.com/office/drawing/2014/main" id="{00000000-0008-0000-0100-0000C6040000}"/>
                </a:ext>
              </a:extLst>
            </xdr:cNvPr>
            <xdr:cNvSpPr>
              <a:spLocks noChangeArrowheads="1"/>
            </xdr:cNvSpPr>
          </xdr:nvSpPr>
          <xdr:spPr bwMode="auto">
            <a:xfrm>
              <a:off x="212" y="301"/>
              <a:ext cx="198" cy="2"/>
            </a:xfrm>
            <a:prstGeom prst="rect">
              <a:avLst/>
            </a:prstGeom>
            <a:solidFill>
              <a:srgbClr val="C2DAE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3" name="Rectangle 199">
              <a:extLst>
                <a:ext uri="{FF2B5EF4-FFF2-40B4-BE49-F238E27FC236}">
                  <a16:creationId xmlns:a16="http://schemas.microsoft.com/office/drawing/2014/main" id="{00000000-0008-0000-0100-0000C7040000}"/>
                </a:ext>
              </a:extLst>
            </xdr:cNvPr>
            <xdr:cNvSpPr>
              <a:spLocks noChangeArrowheads="1"/>
            </xdr:cNvSpPr>
          </xdr:nvSpPr>
          <xdr:spPr bwMode="auto">
            <a:xfrm>
              <a:off x="212" y="303"/>
              <a:ext cx="198" cy="1"/>
            </a:xfrm>
            <a:prstGeom prst="rect">
              <a:avLst/>
            </a:prstGeom>
            <a:solidFill>
              <a:srgbClr val="C0D9E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4" name="Rectangle 200">
              <a:extLst>
                <a:ext uri="{FF2B5EF4-FFF2-40B4-BE49-F238E27FC236}">
                  <a16:creationId xmlns:a16="http://schemas.microsoft.com/office/drawing/2014/main" id="{00000000-0008-0000-0100-0000C8040000}"/>
                </a:ext>
              </a:extLst>
            </xdr:cNvPr>
            <xdr:cNvSpPr>
              <a:spLocks noChangeArrowheads="1"/>
            </xdr:cNvSpPr>
          </xdr:nvSpPr>
          <xdr:spPr bwMode="auto">
            <a:xfrm>
              <a:off x="212" y="304"/>
              <a:ext cx="198" cy="2"/>
            </a:xfrm>
            <a:prstGeom prst="rect">
              <a:avLst/>
            </a:prstGeom>
            <a:solidFill>
              <a:srgbClr val="BED8EE"/>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5" name="Rectangle 201">
              <a:extLst>
                <a:ext uri="{FF2B5EF4-FFF2-40B4-BE49-F238E27FC236}">
                  <a16:creationId xmlns:a16="http://schemas.microsoft.com/office/drawing/2014/main" id="{00000000-0008-0000-0100-0000C9040000}"/>
                </a:ext>
              </a:extLst>
            </xdr:cNvPr>
            <xdr:cNvSpPr>
              <a:spLocks noChangeArrowheads="1"/>
            </xdr:cNvSpPr>
          </xdr:nvSpPr>
          <xdr:spPr bwMode="auto">
            <a:xfrm>
              <a:off x="212" y="306"/>
              <a:ext cx="198" cy="2"/>
            </a:xfrm>
            <a:prstGeom prst="rect">
              <a:avLst/>
            </a:prstGeom>
            <a:solidFill>
              <a:srgbClr val="BCD7EE"/>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6" name="Rectangle 202">
              <a:extLst>
                <a:ext uri="{FF2B5EF4-FFF2-40B4-BE49-F238E27FC236}">
                  <a16:creationId xmlns:a16="http://schemas.microsoft.com/office/drawing/2014/main" id="{00000000-0008-0000-0100-0000CA040000}"/>
                </a:ext>
              </a:extLst>
            </xdr:cNvPr>
            <xdr:cNvSpPr>
              <a:spLocks noChangeArrowheads="1"/>
            </xdr:cNvSpPr>
          </xdr:nvSpPr>
          <xdr:spPr bwMode="auto">
            <a:xfrm>
              <a:off x="212" y="308"/>
              <a:ext cx="198" cy="2"/>
            </a:xfrm>
            <a:prstGeom prst="rect">
              <a:avLst/>
            </a:prstGeom>
            <a:solidFill>
              <a:srgbClr val="BAD5E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7" name="Rectangle 203">
              <a:extLst>
                <a:ext uri="{FF2B5EF4-FFF2-40B4-BE49-F238E27FC236}">
                  <a16:creationId xmlns:a16="http://schemas.microsoft.com/office/drawing/2014/main" id="{00000000-0008-0000-0100-0000CB040000}"/>
                </a:ext>
              </a:extLst>
            </xdr:cNvPr>
            <xdr:cNvSpPr>
              <a:spLocks noChangeArrowheads="1"/>
            </xdr:cNvSpPr>
          </xdr:nvSpPr>
          <xdr:spPr bwMode="auto">
            <a:xfrm>
              <a:off x="212" y="310"/>
              <a:ext cx="198" cy="3"/>
            </a:xfrm>
            <a:prstGeom prst="rect">
              <a:avLst/>
            </a:prstGeom>
            <a:solidFill>
              <a:srgbClr val="B8D4E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229" name="Rectangle 205">
            <a:extLst>
              <a:ext uri="{FF2B5EF4-FFF2-40B4-BE49-F238E27FC236}">
                <a16:creationId xmlns:a16="http://schemas.microsoft.com/office/drawing/2014/main" id="{00000000-0008-0000-0100-0000CD040000}"/>
              </a:ext>
            </a:extLst>
          </xdr:cNvPr>
          <xdr:cNvSpPr>
            <a:spLocks noChangeArrowheads="1"/>
          </xdr:cNvSpPr>
        </xdr:nvSpPr>
        <xdr:spPr bwMode="auto">
          <a:xfrm>
            <a:off x="212" y="313"/>
            <a:ext cx="198" cy="2"/>
          </a:xfrm>
          <a:prstGeom prst="rect">
            <a:avLst/>
          </a:prstGeom>
          <a:solidFill>
            <a:srgbClr val="B6D3E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0" name="Rectangle 206">
            <a:extLst>
              <a:ext uri="{FF2B5EF4-FFF2-40B4-BE49-F238E27FC236}">
                <a16:creationId xmlns:a16="http://schemas.microsoft.com/office/drawing/2014/main" id="{00000000-0008-0000-0100-0000CE040000}"/>
              </a:ext>
            </a:extLst>
          </xdr:cNvPr>
          <xdr:cNvSpPr>
            <a:spLocks noChangeArrowheads="1"/>
          </xdr:cNvSpPr>
        </xdr:nvSpPr>
        <xdr:spPr bwMode="auto">
          <a:xfrm>
            <a:off x="212" y="315"/>
            <a:ext cx="198" cy="2"/>
          </a:xfrm>
          <a:prstGeom prst="rect">
            <a:avLst/>
          </a:prstGeom>
          <a:solidFill>
            <a:srgbClr val="B4D2E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1" name="Rectangle 207">
            <a:extLst>
              <a:ext uri="{FF2B5EF4-FFF2-40B4-BE49-F238E27FC236}">
                <a16:creationId xmlns:a16="http://schemas.microsoft.com/office/drawing/2014/main" id="{00000000-0008-0000-0100-0000CF040000}"/>
              </a:ext>
            </a:extLst>
          </xdr:cNvPr>
          <xdr:cNvSpPr>
            <a:spLocks noChangeArrowheads="1"/>
          </xdr:cNvSpPr>
        </xdr:nvSpPr>
        <xdr:spPr bwMode="auto">
          <a:xfrm>
            <a:off x="212" y="317"/>
            <a:ext cx="198" cy="2"/>
          </a:xfrm>
          <a:prstGeom prst="rect">
            <a:avLst/>
          </a:prstGeom>
          <a:solidFill>
            <a:srgbClr val="B2D0EB"/>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2" name="Rectangle 208">
            <a:extLst>
              <a:ext uri="{FF2B5EF4-FFF2-40B4-BE49-F238E27FC236}">
                <a16:creationId xmlns:a16="http://schemas.microsoft.com/office/drawing/2014/main" id="{00000000-0008-0000-0100-0000D0040000}"/>
              </a:ext>
            </a:extLst>
          </xdr:cNvPr>
          <xdr:cNvSpPr>
            <a:spLocks noChangeArrowheads="1"/>
          </xdr:cNvSpPr>
        </xdr:nvSpPr>
        <xdr:spPr bwMode="auto">
          <a:xfrm>
            <a:off x="212" y="319"/>
            <a:ext cx="198" cy="2"/>
          </a:xfrm>
          <a:prstGeom prst="rect">
            <a:avLst/>
          </a:prstGeom>
          <a:solidFill>
            <a:srgbClr val="B0CFEB"/>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3" name="Rectangle 209">
            <a:extLst>
              <a:ext uri="{FF2B5EF4-FFF2-40B4-BE49-F238E27FC236}">
                <a16:creationId xmlns:a16="http://schemas.microsoft.com/office/drawing/2014/main" id="{00000000-0008-0000-0100-0000D1040000}"/>
              </a:ext>
            </a:extLst>
          </xdr:cNvPr>
          <xdr:cNvSpPr>
            <a:spLocks noChangeArrowheads="1"/>
          </xdr:cNvSpPr>
        </xdr:nvSpPr>
        <xdr:spPr bwMode="auto">
          <a:xfrm>
            <a:off x="212" y="321"/>
            <a:ext cx="198" cy="2"/>
          </a:xfrm>
          <a:prstGeom prst="rect">
            <a:avLst/>
          </a:prstGeom>
          <a:solidFill>
            <a:srgbClr val="AECEE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4" name="Rectangle 210">
            <a:extLst>
              <a:ext uri="{FF2B5EF4-FFF2-40B4-BE49-F238E27FC236}">
                <a16:creationId xmlns:a16="http://schemas.microsoft.com/office/drawing/2014/main" id="{00000000-0008-0000-0100-0000D2040000}"/>
              </a:ext>
            </a:extLst>
          </xdr:cNvPr>
          <xdr:cNvSpPr>
            <a:spLocks noChangeArrowheads="1"/>
          </xdr:cNvSpPr>
        </xdr:nvSpPr>
        <xdr:spPr bwMode="auto">
          <a:xfrm>
            <a:off x="212" y="323"/>
            <a:ext cx="198" cy="2"/>
          </a:xfrm>
          <a:prstGeom prst="rect">
            <a:avLst/>
          </a:prstGeom>
          <a:solidFill>
            <a:srgbClr val="ACCDE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5" name="Rectangle 211">
            <a:extLst>
              <a:ext uri="{FF2B5EF4-FFF2-40B4-BE49-F238E27FC236}">
                <a16:creationId xmlns:a16="http://schemas.microsoft.com/office/drawing/2014/main" id="{00000000-0008-0000-0100-0000D3040000}"/>
              </a:ext>
            </a:extLst>
          </xdr:cNvPr>
          <xdr:cNvSpPr>
            <a:spLocks noChangeArrowheads="1"/>
          </xdr:cNvSpPr>
        </xdr:nvSpPr>
        <xdr:spPr bwMode="auto">
          <a:xfrm>
            <a:off x="212" y="325"/>
            <a:ext cx="198" cy="3"/>
          </a:xfrm>
          <a:prstGeom prst="rect">
            <a:avLst/>
          </a:prstGeom>
          <a:solidFill>
            <a:srgbClr val="AACBE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6" name="Rectangle 212">
            <a:extLst>
              <a:ext uri="{FF2B5EF4-FFF2-40B4-BE49-F238E27FC236}">
                <a16:creationId xmlns:a16="http://schemas.microsoft.com/office/drawing/2014/main" id="{00000000-0008-0000-0100-0000D4040000}"/>
              </a:ext>
            </a:extLst>
          </xdr:cNvPr>
          <xdr:cNvSpPr>
            <a:spLocks noChangeArrowheads="1"/>
          </xdr:cNvSpPr>
        </xdr:nvSpPr>
        <xdr:spPr bwMode="auto">
          <a:xfrm>
            <a:off x="212" y="328"/>
            <a:ext cx="198" cy="1"/>
          </a:xfrm>
          <a:prstGeom prst="rect">
            <a:avLst/>
          </a:prstGeom>
          <a:solidFill>
            <a:srgbClr val="A8CAE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7" name="Rectangle 213">
            <a:extLst>
              <a:ext uri="{FF2B5EF4-FFF2-40B4-BE49-F238E27FC236}">
                <a16:creationId xmlns:a16="http://schemas.microsoft.com/office/drawing/2014/main" id="{00000000-0008-0000-0100-0000D5040000}"/>
              </a:ext>
            </a:extLst>
          </xdr:cNvPr>
          <xdr:cNvSpPr>
            <a:spLocks noChangeArrowheads="1"/>
          </xdr:cNvSpPr>
        </xdr:nvSpPr>
        <xdr:spPr bwMode="auto">
          <a:xfrm>
            <a:off x="212" y="329"/>
            <a:ext cx="198" cy="2"/>
          </a:xfrm>
          <a:prstGeom prst="rect">
            <a:avLst/>
          </a:prstGeom>
          <a:solidFill>
            <a:srgbClr val="A6C9E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8" name="Rectangle 214">
            <a:extLst>
              <a:ext uri="{FF2B5EF4-FFF2-40B4-BE49-F238E27FC236}">
                <a16:creationId xmlns:a16="http://schemas.microsoft.com/office/drawing/2014/main" id="{00000000-0008-0000-0100-0000D6040000}"/>
              </a:ext>
            </a:extLst>
          </xdr:cNvPr>
          <xdr:cNvSpPr>
            <a:spLocks noChangeArrowheads="1"/>
          </xdr:cNvSpPr>
        </xdr:nvSpPr>
        <xdr:spPr bwMode="auto">
          <a:xfrm>
            <a:off x="212" y="331"/>
            <a:ext cx="198" cy="2"/>
          </a:xfrm>
          <a:prstGeom prst="rect">
            <a:avLst/>
          </a:prstGeom>
          <a:solidFill>
            <a:srgbClr val="A4C8E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9" name="Rectangle 215">
            <a:extLst>
              <a:ext uri="{FF2B5EF4-FFF2-40B4-BE49-F238E27FC236}">
                <a16:creationId xmlns:a16="http://schemas.microsoft.com/office/drawing/2014/main" id="{00000000-0008-0000-0100-0000D7040000}"/>
              </a:ext>
            </a:extLst>
          </xdr:cNvPr>
          <xdr:cNvSpPr>
            <a:spLocks noChangeArrowheads="1"/>
          </xdr:cNvSpPr>
        </xdr:nvSpPr>
        <xdr:spPr bwMode="auto">
          <a:xfrm>
            <a:off x="212" y="333"/>
            <a:ext cx="198" cy="2"/>
          </a:xfrm>
          <a:prstGeom prst="rect">
            <a:avLst/>
          </a:prstGeom>
          <a:solidFill>
            <a:srgbClr val="A3C6E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0" name="Rectangle 216">
            <a:extLst>
              <a:ext uri="{FF2B5EF4-FFF2-40B4-BE49-F238E27FC236}">
                <a16:creationId xmlns:a16="http://schemas.microsoft.com/office/drawing/2014/main" id="{00000000-0008-0000-0100-0000D8040000}"/>
              </a:ext>
            </a:extLst>
          </xdr:cNvPr>
          <xdr:cNvSpPr>
            <a:spLocks noChangeArrowheads="1"/>
          </xdr:cNvSpPr>
        </xdr:nvSpPr>
        <xdr:spPr bwMode="auto">
          <a:xfrm>
            <a:off x="212" y="335"/>
            <a:ext cx="198" cy="2"/>
          </a:xfrm>
          <a:prstGeom prst="rect">
            <a:avLst/>
          </a:prstGeom>
          <a:solidFill>
            <a:srgbClr val="A1C6E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1" name="Rectangle 217">
            <a:extLst>
              <a:ext uri="{FF2B5EF4-FFF2-40B4-BE49-F238E27FC236}">
                <a16:creationId xmlns:a16="http://schemas.microsoft.com/office/drawing/2014/main" id="{00000000-0008-0000-0100-0000D9040000}"/>
              </a:ext>
            </a:extLst>
          </xdr:cNvPr>
          <xdr:cNvSpPr>
            <a:spLocks noChangeArrowheads="1"/>
          </xdr:cNvSpPr>
        </xdr:nvSpPr>
        <xdr:spPr bwMode="auto">
          <a:xfrm>
            <a:off x="212" y="337"/>
            <a:ext cx="198" cy="2"/>
          </a:xfrm>
          <a:prstGeom prst="rect">
            <a:avLst/>
          </a:prstGeom>
          <a:solidFill>
            <a:srgbClr val="9FC5E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2" name="Rectangle 218">
            <a:extLst>
              <a:ext uri="{FF2B5EF4-FFF2-40B4-BE49-F238E27FC236}">
                <a16:creationId xmlns:a16="http://schemas.microsoft.com/office/drawing/2014/main" id="{00000000-0008-0000-0100-0000DA040000}"/>
              </a:ext>
            </a:extLst>
          </xdr:cNvPr>
          <xdr:cNvSpPr>
            <a:spLocks noChangeArrowheads="1"/>
          </xdr:cNvSpPr>
        </xdr:nvSpPr>
        <xdr:spPr bwMode="auto">
          <a:xfrm>
            <a:off x="212" y="339"/>
            <a:ext cx="198" cy="1"/>
          </a:xfrm>
          <a:prstGeom prst="rect">
            <a:avLst/>
          </a:prstGeom>
          <a:solidFill>
            <a:srgbClr val="9EC3E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3" name="Rectangle 219">
            <a:extLst>
              <a:ext uri="{FF2B5EF4-FFF2-40B4-BE49-F238E27FC236}">
                <a16:creationId xmlns:a16="http://schemas.microsoft.com/office/drawing/2014/main" id="{00000000-0008-0000-0100-0000DB040000}"/>
              </a:ext>
            </a:extLst>
          </xdr:cNvPr>
          <xdr:cNvSpPr>
            <a:spLocks noChangeArrowheads="1"/>
          </xdr:cNvSpPr>
        </xdr:nvSpPr>
        <xdr:spPr bwMode="auto">
          <a:xfrm>
            <a:off x="212" y="340"/>
            <a:ext cx="198" cy="1"/>
          </a:xfrm>
          <a:prstGeom prst="rect">
            <a:avLst/>
          </a:prstGeom>
          <a:solidFill>
            <a:srgbClr val="9BC2E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4" name="Rectangle 220">
            <a:extLst>
              <a:ext uri="{FF2B5EF4-FFF2-40B4-BE49-F238E27FC236}">
                <a16:creationId xmlns:a16="http://schemas.microsoft.com/office/drawing/2014/main" id="{00000000-0008-0000-0100-0000DC040000}"/>
              </a:ext>
            </a:extLst>
          </xdr:cNvPr>
          <xdr:cNvSpPr>
            <a:spLocks noChangeArrowheads="1"/>
          </xdr:cNvSpPr>
        </xdr:nvSpPr>
        <xdr:spPr bwMode="auto">
          <a:xfrm>
            <a:off x="212" y="341"/>
            <a:ext cx="198" cy="1"/>
          </a:xfrm>
          <a:prstGeom prst="rect">
            <a:avLst/>
          </a:prstGeom>
          <a:solidFill>
            <a:srgbClr val="99C0E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5" name="Rectangle 221">
            <a:extLst>
              <a:ext uri="{FF2B5EF4-FFF2-40B4-BE49-F238E27FC236}">
                <a16:creationId xmlns:a16="http://schemas.microsoft.com/office/drawing/2014/main" id="{00000000-0008-0000-0100-0000DD040000}"/>
              </a:ext>
            </a:extLst>
          </xdr:cNvPr>
          <xdr:cNvSpPr>
            <a:spLocks noChangeArrowheads="1"/>
          </xdr:cNvSpPr>
        </xdr:nvSpPr>
        <xdr:spPr bwMode="auto">
          <a:xfrm>
            <a:off x="212" y="342"/>
            <a:ext cx="198" cy="1"/>
          </a:xfrm>
          <a:prstGeom prst="rect">
            <a:avLst/>
          </a:prstGeom>
          <a:solidFill>
            <a:srgbClr val="97BFE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6" name="Rectangle 222">
            <a:extLst>
              <a:ext uri="{FF2B5EF4-FFF2-40B4-BE49-F238E27FC236}">
                <a16:creationId xmlns:a16="http://schemas.microsoft.com/office/drawing/2014/main" id="{00000000-0008-0000-0100-0000DE040000}"/>
              </a:ext>
            </a:extLst>
          </xdr:cNvPr>
          <xdr:cNvSpPr>
            <a:spLocks noChangeArrowheads="1"/>
          </xdr:cNvSpPr>
        </xdr:nvSpPr>
        <xdr:spPr bwMode="auto">
          <a:xfrm>
            <a:off x="212" y="343"/>
            <a:ext cx="198" cy="1"/>
          </a:xfrm>
          <a:prstGeom prst="rect">
            <a:avLst/>
          </a:prstGeom>
          <a:solidFill>
            <a:srgbClr val="95BDE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7" name="Rectangle 223">
            <a:extLst>
              <a:ext uri="{FF2B5EF4-FFF2-40B4-BE49-F238E27FC236}">
                <a16:creationId xmlns:a16="http://schemas.microsoft.com/office/drawing/2014/main" id="{00000000-0008-0000-0100-0000DF040000}"/>
              </a:ext>
            </a:extLst>
          </xdr:cNvPr>
          <xdr:cNvSpPr>
            <a:spLocks noChangeArrowheads="1"/>
          </xdr:cNvSpPr>
        </xdr:nvSpPr>
        <xdr:spPr bwMode="auto">
          <a:xfrm>
            <a:off x="212" y="343"/>
            <a:ext cx="198" cy="1"/>
          </a:xfrm>
          <a:prstGeom prst="rect">
            <a:avLst/>
          </a:prstGeom>
          <a:solidFill>
            <a:srgbClr val="93BCE2"/>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8" name="Rectangle 224">
            <a:extLst>
              <a:ext uri="{FF2B5EF4-FFF2-40B4-BE49-F238E27FC236}">
                <a16:creationId xmlns:a16="http://schemas.microsoft.com/office/drawing/2014/main" id="{00000000-0008-0000-0100-0000E0040000}"/>
              </a:ext>
            </a:extLst>
          </xdr:cNvPr>
          <xdr:cNvSpPr>
            <a:spLocks noChangeArrowheads="1"/>
          </xdr:cNvSpPr>
        </xdr:nvSpPr>
        <xdr:spPr bwMode="auto">
          <a:xfrm>
            <a:off x="212" y="344"/>
            <a:ext cx="198" cy="1"/>
          </a:xfrm>
          <a:prstGeom prst="rect">
            <a:avLst/>
          </a:prstGeom>
          <a:solidFill>
            <a:srgbClr val="91BAE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9" name="Rectangle 225">
            <a:extLst>
              <a:ext uri="{FF2B5EF4-FFF2-40B4-BE49-F238E27FC236}">
                <a16:creationId xmlns:a16="http://schemas.microsoft.com/office/drawing/2014/main" id="{00000000-0008-0000-0100-0000E1040000}"/>
              </a:ext>
            </a:extLst>
          </xdr:cNvPr>
          <xdr:cNvSpPr>
            <a:spLocks noChangeArrowheads="1"/>
          </xdr:cNvSpPr>
        </xdr:nvSpPr>
        <xdr:spPr bwMode="auto">
          <a:xfrm>
            <a:off x="212" y="345"/>
            <a:ext cx="198" cy="1"/>
          </a:xfrm>
          <a:prstGeom prst="rect">
            <a:avLst/>
          </a:prstGeom>
          <a:solidFill>
            <a:srgbClr val="8FBA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0" name="Rectangle 226">
            <a:extLst>
              <a:ext uri="{FF2B5EF4-FFF2-40B4-BE49-F238E27FC236}">
                <a16:creationId xmlns:a16="http://schemas.microsoft.com/office/drawing/2014/main" id="{00000000-0008-0000-0100-0000E2040000}"/>
              </a:ext>
            </a:extLst>
          </xdr:cNvPr>
          <xdr:cNvSpPr>
            <a:spLocks noChangeArrowheads="1"/>
          </xdr:cNvSpPr>
        </xdr:nvSpPr>
        <xdr:spPr bwMode="auto">
          <a:xfrm>
            <a:off x="212" y="345"/>
            <a:ext cx="198" cy="1"/>
          </a:xfrm>
          <a:prstGeom prst="rect">
            <a:avLst/>
          </a:prstGeom>
          <a:solidFill>
            <a:srgbClr val="8DB8D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1" name="Rectangle 227">
            <a:extLst>
              <a:ext uri="{FF2B5EF4-FFF2-40B4-BE49-F238E27FC236}">
                <a16:creationId xmlns:a16="http://schemas.microsoft.com/office/drawing/2014/main" id="{00000000-0008-0000-0100-0000E3040000}"/>
              </a:ext>
            </a:extLst>
          </xdr:cNvPr>
          <xdr:cNvSpPr>
            <a:spLocks noChangeArrowheads="1"/>
          </xdr:cNvSpPr>
        </xdr:nvSpPr>
        <xdr:spPr bwMode="auto">
          <a:xfrm>
            <a:off x="212" y="346"/>
            <a:ext cx="198" cy="1"/>
          </a:xfrm>
          <a:prstGeom prst="rect">
            <a:avLst/>
          </a:prstGeom>
          <a:solidFill>
            <a:srgbClr val="8BB7DE"/>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2" name="Rectangle 228">
            <a:extLst>
              <a:ext uri="{FF2B5EF4-FFF2-40B4-BE49-F238E27FC236}">
                <a16:creationId xmlns:a16="http://schemas.microsoft.com/office/drawing/2014/main" id="{00000000-0008-0000-0100-0000E4040000}"/>
              </a:ext>
            </a:extLst>
          </xdr:cNvPr>
          <xdr:cNvSpPr>
            <a:spLocks noChangeArrowheads="1"/>
          </xdr:cNvSpPr>
        </xdr:nvSpPr>
        <xdr:spPr bwMode="auto">
          <a:xfrm>
            <a:off x="212" y="347"/>
            <a:ext cx="198" cy="1"/>
          </a:xfrm>
          <a:prstGeom prst="rect">
            <a:avLst/>
          </a:prstGeom>
          <a:solidFill>
            <a:srgbClr val="89B5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3" name="Rectangle 229">
            <a:extLst>
              <a:ext uri="{FF2B5EF4-FFF2-40B4-BE49-F238E27FC236}">
                <a16:creationId xmlns:a16="http://schemas.microsoft.com/office/drawing/2014/main" id="{00000000-0008-0000-0100-0000E5040000}"/>
              </a:ext>
            </a:extLst>
          </xdr:cNvPr>
          <xdr:cNvSpPr>
            <a:spLocks noChangeArrowheads="1"/>
          </xdr:cNvSpPr>
        </xdr:nvSpPr>
        <xdr:spPr bwMode="auto">
          <a:xfrm>
            <a:off x="212" y="347"/>
            <a:ext cx="198" cy="1"/>
          </a:xfrm>
          <a:prstGeom prst="rect">
            <a:avLst/>
          </a:prstGeom>
          <a:solidFill>
            <a:srgbClr val="87B3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4" name="Rectangle 230">
            <a:extLst>
              <a:ext uri="{FF2B5EF4-FFF2-40B4-BE49-F238E27FC236}">
                <a16:creationId xmlns:a16="http://schemas.microsoft.com/office/drawing/2014/main" id="{00000000-0008-0000-0100-0000E6040000}"/>
              </a:ext>
            </a:extLst>
          </xdr:cNvPr>
          <xdr:cNvSpPr>
            <a:spLocks noChangeArrowheads="1"/>
          </xdr:cNvSpPr>
        </xdr:nvSpPr>
        <xdr:spPr bwMode="auto">
          <a:xfrm>
            <a:off x="212" y="348"/>
            <a:ext cx="198" cy="1"/>
          </a:xfrm>
          <a:prstGeom prst="rect">
            <a:avLst/>
          </a:prstGeom>
          <a:solidFill>
            <a:srgbClr val="85B2DB"/>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5" name="Rectangle 231">
            <a:extLst>
              <a:ext uri="{FF2B5EF4-FFF2-40B4-BE49-F238E27FC236}">
                <a16:creationId xmlns:a16="http://schemas.microsoft.com/office/drawing/2014/main" id="{00000000-0008-0000-0100-0000E7040000}"/>
              </a:ext>
            </a:extLst>
          </xdr:cNvPr>
          <xdr:cNvSpPr>
            <a:spLocks noChangeArrowheads="1"/>
          </xdr:cNvSpPr>
        </xdr:nvSpPr>
        <xdr:spPr bwMode="auto">
          <a:xfrm>
            <a:off x="212" y="349"/>
            <a:ext cx="198" cy="1"/>
          </a:xfrm>
          <a:prstGeom prst="rect">
            <a:avLst/>
          </a:prstGeom>
          <a:solidFill>
            <a:srgbClr val="83B0DB"/>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6" name="Rectangle 232">
            <a:extLst>
              <a:ext uri="{FF2B5EF4-FFF2-40B4-BE49-F238E27FC236}">
                <a16:creationId xmlns:a16="http://schemas.microsoft.com/office/drawing/2014/main" id="{00000000-0008-0000-0100-0000E8040000}"/>
              </a:ext>
            </a:extLst>
          </xdr:cNvPr>
          <xdr:cNvSpPr>
            <a:spLocks noChangeArrowheads="1"/>
          </xdr:cNvSpPr>
        </xdr:nvSpPr>
        <xdr:spPr bwMode="auto">
          <a:xfrm>
            <a:off x="212" y="350"/>
            <a:ext cx="198" cy="1"/>
          </a:xfrm>
          <a:prstGeom prst="rect">
            <a:avLst/>
          </a:prstGeom>
          <a:solidFill>
            <a:srgbClr val="80AFD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7" name="Rectangle 233">
            <a:extLst>
              <a:ext uri="{FF2B5EF4-FFF2-40B4-BE49-F238E27FC236}">
                <a16:creationId xmlns:a16="http://schemas.microsoft.com/office/drawing/2014/main" id="{00000000-0008-0000-0100-0000E9040000}"/>
              </a:ext>
            </a:extLst>
          </xdr:cNvPr>
          <xdr:cNvSpPr>
            <a:spLocks noChangeArrowheads="1"/>
          </xdr:cNvSpPr>
        </xdr:nvSpPr>
        <xdr:spPr bwMode="auto">
          <a:xfrm>
            <a:off x="212" y="351"/>
            <a:ext cx="198" cy="1"/>
          </a:xfrm>
          <a:prstGeom prst="rect">
            <a:avLst/>
          </a:prstGeom>
          <a:solidFill>
            <a:srgbClr val="7EAD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8" name="Rectangle 234">
            <a:extLst>
              <a:ext uri="{FF2B5EF4-FFF2-40B4-BE49-F238E27FC236}">
                <a16:creationId xmlns:a16="http://schemas.microsoft.com/office/drawing/2014/main" id="{00000000-0008-0000-0100-0000EA040000}"/>
              </a:ext>
            </a:extLst>
          </xdr:cNvPr>
          <xdr:cNvSpPr>
            <a:spLocks noChangeArrowheads="1"/>
          </xdr:cNvSpPr>
        </xdr:nvSpPr>
        <xdr:spPr bwMode="auto">
          <a:xfrm>
            <a:off x="212" y="352"/>
            <a:ext cx="198" cy="1"/>
          </a:xfrm>
          <a:prstGeom prst="rect">
            <a:avLst/>
          </a:prstGeom>
          <a:solidFill>
            <a:srgbClr val="7CACD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9" name="Rectangle 235">
            <a:extLst>
              <a:ext uri="{FF2B5EF4-FFF2-40B4-BE49-F238E27FC236}">
                <a16:creationId xmlns:a16="http://schemas.microsoft.com/office/drawing/2014/main" id="{00000000-0008-0000-0100-0000EB040000}"/>
              </a:ext>
            </a:extLst>
          </xdr:cNvPr>
          <xdr:cNvSpPr>
            <a:spLocks noChangeArrowheads="1"/>
          </xdr:cNvSpPr>
        </xdr:nvSpPr>
        <xdr:spPr bwMode="auto">
          <a:xfrm>
            <a:off x="212" y="352"/>
            <a:ext cx="198" cy="1"/>
          </a:xfrm>
          <a:prstGeom prst="rect">
            <a:avLst/>
          </a:prstGeom>
          <a:solidFill>
            <a:srgbClr val="7AAAD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0" name="Rectangle 236">
            <a:extLst>
              <a:ext uri="{FF2B5EF4-FFF2-40B4-BE49-F238E27FC236}">
                <a16:creationId xmlns:a16="http://schemas.microsoft.com/office/drawing/2014/main" id="{00000000-0008-0000-0100-0000EC040000}"/>
              </a:ext>
            </a:extLst>
          </xdr:cNvPr>
          <xdr:cNvSpPr>
            <a:spLocks noChangeArrowheads="1"/>
          </xdr:cNvSpPr>
        </xdr:nvSpPr>
        <xdr:spPr bwMode="auto">
          <a:xfrm>
            <a:off x="212" y="353"/>
            <a:ext cx="198" cy="1"/>
          </a:xfrm>
          <a:prstGeom prst="rect">
            <a:avLst/>
          </a:prstGeom>
          <a:solidFill>
            <a:srgbClr val="78A9D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1" name="Rectangle 237">
            <a:extLst>
              <a:ext uri="{FF2B5EF4-FFF2-40B4-BE49-F238E27FC236}">
                <a16:creationId xmlns:a16="http://schemas.microsoft.com/office/drawing/2014/main" id="{00000000-0008-0000-0100-0000ED040000}"/>
              </a:ext>
            </a:extLst>
          </xdr:cNvPr>
          <xdr:cNvSpPr>
            <a:spLocks noChangeArrowheads="1"/>
          </xdr:cNvSpPr>
        </xdr:nvSpPr>
        <xdr:spPr bwMode="auto">
          <a:xfrm>
            <a:off x="212" y="354"/>
            <a:ext cx="198" cy="1"/>
          </a:xfrm>
          <a:prstGeom prst="rect">
            <a:avLst/>
          </a:prstGeom>
          <a:solidFill>
            <a:srgbClr val="76A7D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2" name="Rectangle 238">
            <a:extLst>
              <a:ext uri="{FF2B5EF4-FFF2-40B4-BE49-F238E27FC236}">
                <a16:creationId xmlns:a16="http://schemas.microsoft.com/office/drawing/2014/main" id="{00000000-0008-0000-0100-0000EE040000}"/>
              </a:ext>
            </a:extLst>
          </xdr:cNvPr>
          <xdr:cNvSpPr>
            <a:spLocks noChangeArrowheads="1"/>
          </xdr:cNvSpPr>
        </xdr:nvSpPr>
        <xdr:spPr bwMode="auto">
          <a:xfrm>
            <a:off x="212" y="354"/>
            <a:ext cx="198" cy="1"/>
          </a:xfrm>
          <a:prstGeom prst="rect">
            <a:avLst/>
          </a:prstGeom>
          <a:solidFill>
            <a:srgbClr val="74A7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3" name="Rectangle 239">
            <a:extLst>
              <a:ext uri="{FF2B5EF4-FFF2-40B4-BE49-F238E27FC236}">
                <a16:creationId xmlns:a16="http://schemas.microsoft.com/office/drawing/2014/main" id="{00000000-0008-0000-0100-0000EF040000}"/>
              </a:ext>
            </a:extLst>
          </xdr:cNvPr>
          <xdr:cNvSpPr>
            <a:spLocks noChangeArrowheads="1"/>
          </xdr:cNvSpPr>
        </xdr:nvSpPr>
        <xdr:spPr bwMode="auto">
          <a:xfrm>
            <a:off x="212" y="355"/>
            <a:ext cx="198" cy="1"/>
          </a:xfrm>
          <a:prstGeom prst="rect">
            <a:avLst/>
          </a:prstGeom>
          <a:solidFill>
            <a:srgbClr val="72A5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4" name="Rectangle 240">
            <a:extLst>
              <a:ext uri="{FF2B5EF4-FFF2-40B4-BE49-F238E27FC236}">
                <a16:creationId xmlns:a16="http://schemas.microsoft.com/office/drawing/2014/main" id="{00000000-0008-0000-0100-0000F0040000}"/>
              </a:ext>
            </a:extLst>
          </xdr:cNvPr>
          <xdr:cNvSpPr>
            <a:spLocks noChangeArrowheads="1"/>
          </xdr:cNvSpPr>
        </xdr:nvSpPr>
        <xdr:spPr bwMode="auto">
          <a:xfrm>
            <a:off x="212" y="356"/>
            <a:ext cx="198" cy="1"/>
          </a:xfrm>
          <a:prstGeom prst="rect">
            <a:avLst/>
          </a:prstGeom>
          <a:solidFill>
            <a:srgbClr val="70A3D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5" name="Rectangle 241">
            <a:extLst>
              <a:ext uri="{FF2B5EF4-FFF2-40B4-BE49-F238E27FC236}">
                <a16:creationId xmlns:a16="http://schemas.microsoft.com/office/drawing/2014/main" id="{00000000-0008-0000-0100-0000F1040000}"/>
              </a:ext>
            </a:extLst>
          </xdr:cNvPr>
          <xdr:cNvSpPr>
            <a:spLocks noChangeArrowheads="1"/>
          </xdr:cNvSpPr>
        </xdr:nvSpPr>
        <xdr:spPr bwMode="auto">
          <a:xfrm>
            <a:off x="212" y="357"/>
            <a:ext cx="198" cy="1"/>
          </a:xfrm>
          <a:prstGeom prst="rect">
            <a:avLst/>
          </a:prstGeom>
          <a:solidFill>
            <a:srgbClr val="6EA2D2"/>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6" name="Rectangle 242">
            <a:extLst>
              <a:ext uri="{FF2B5EF4-FFF2-40B4-BE49-F238E27FC236}">
                <a16:creationId xmlns:a16="http://schemas.microsoft.com/office/drawing/2014/main" id="{00000000-0008-0000-0100-0000F2040000}"/>
              </a:ext>
            </a:extLst>
          </xdr:cNvPr>
          <xdr:cNvSpPr>
            <a:spLocks noChangeArrowheads="1"/>
          </xdr:cNvSpPr>
        </xdr:nvSpPr>
        <xdr:spPr bwMode="auto">
          <a:xfrm>
            <a:off x="212" y="358"/>
            <a:ext cx="198" cy="1"/>
          </a:xfrm>
          <a:prstGeom prst="rect">
            <a:avLst/>
          </a:prstGeom>
          <a:solidFill>
            <a:srgbClr val="6CA0D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7" name="Rectangle 243">
            <a:extLst>
              <a:ext uri="{FF2B5EF4-FFF2-40B4-BE49-F238E27FC236}">
                <a16:creationId xmlns:a16="http://schemas.microsoft.com/office/drawing/2014/main" id="{00000000-0008-0000-0100-0000F3040000}"/>
              </a:ext>
            </a:extLst>
          </xdr:cNvPr>
          <xdr:cNvSpPr>
            <a:spLocks noChangeArrowheads="1"/>
          </xdr:cNvSpPr>
        </xdr:nvSpPr>
        <xdr:spPr bwMode="auto">
          <a:xfrm>
            <a:off x="212" y="359"/>
            <a:ext cx="198" cy="1"/>
          </a:xfrm>
          <a:prstGeom prst="rect">
            <a:avLst/>
          </a:prstGeom>
          <a:solidFill>
            <a:srgbClr val="6A9F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8" name="Rectangle 244">
            <a:extLst>
              <a:ext uri="{FF2B5EF4-FFF2-40B4-BE49-F238E27FC236}">
                <a16:creationId xmlns:a16="http://schemas.microsoft.com/office/drawing/2014/main" id="{00000000-0008-0000-0100-0000F4040000}"/>
              </a:ext>
            </a:extLst>
          </xdr:cNvPr>
          <xdr:cNvSpPr>
            <a:spLocks noChangeArrowheads="1"/>
          </xdr:cNvSpPr>
        </xdr:nvSpPr>
        <xdr:spPr bwMode="auto">
          <a:xfrm>
            <a:off x="212" y="359"/>
            <a:ext cx="198" cy="1"/>
          </a:xfrm>
          <a:prstGeom prst="rect">
            <a:avLst/>
          </a:prstGeom>
          <a:solidFill>
            <a:srgbClr val="679DC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9" name="Rectangle 245">
            <a:extLst>
              <a:ext uri="{FF2B5EF4-FFF2-40B4-BE49-F238E27FC236}">
                <a16:creationId xmlns:a16="http://schemas.microsoft.com/office/drawing/2014/main" id="{00000000-0008-0000-0100-0000F5040000}"/>
              </a:ext>
            </a:extLst>
          </xdr:cNvPr>
          <xdr:cNvSpPr>
            <a:spLocks noChangeArrowheads="1"/>
          </xdr:cNvSpPr>
        </xdr:nvSpPr>
        <xdr:spPr bwMode="auto">
          <a:xfrm>
            <a:off x="212" y="360"/>
            <a:ext cx="198" cy="1"/>
          </a:xfrm>
          <a:prstGeom prst="rect">
            <a:avLst/>
          </a:prstGeom>
          <a:solidFill>
            <a:srgbClr val="659CCE"/>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0" name="Rectangle 246">
            <a:extLst>
              <a:ext uri="{FF2B5EF4-FFF2-40B4-BE49-F238E27FC236}">
                <a16:creationId xmlns:a16="http://schemas.microsoft.com/office/drawing/2014/main" id="{00000000-0008-0000-0100-0000F6040000}"/>
              </a:ext>
            </a:extLst>
          </xdr:cNvPr>
          <xdr:cNvSpPr>
            <a:spLocks noChangeArrowheads="1"/>
          </xdr:cNvSpPr>
        </xdr:nvSpPr>
        <xdr:spPr bwMode="auto">
          <a:xfrm>
            <a:off x="212" y="361"/>
            <a:ext cx="198" cy="1"/>
          </a:xfrm>
          <a:prstGeom prst="rect">
            <a:avLst/>
          </a:prstGeom>
          <a:solidFill>
            <a:srgbClr val="639AC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1" name="Rectangle 247">
            <a:extLst>
              <a:ext uri="{FF2B5EF4-FFF2-40B4-BE49-F238E27FC236}">
                <a16:creationId xmlns:a16="http://schemas.microsoft.com/office/drawing/2014/main" id="{00000000-0008-0000-0100-0000F7040000}"/>
              </a:ext>
            </a:extLst>
          </xdr:cNvPr>
          <xdr:cNvSpPr>
            <a:spLocks noChangeArrowheads="1"/>
          </xdr:cNvSpPr>
        </xdr:nvSpPr>
        <xdr:spPr bwMode="auto">
          <a:xfrm>
            <a:off x="212" y="362"/>
            <a:ext cx="198" cy="1"/>
          </a:xfrm>
          <a:prstGeom prst="rect">
            <a:avLst/>
          </a:prstGeom>
          <a:solidFill>
            <a:srgbClr val="6199C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2" name="Rectangle 248">
            <a:extLst>
              <a:ext uri="{FF2B5EF4-FFF2-40B4-BE49-F238E27FC236}">
                <a16:creationId xmlns:a16="http://schemas.microsoft.com/office/drawing/2014/main" id="{00000000-0008-0000-0100-0000F8040000}"/>
              </a:ext>
            </a:extLst>
          </xdr:cNvPr>
          <xdr:cNvSpPr>
            <a:spLocks noChangeArrowheads="1"/>
          </xdr:cNvSpPr>
        </xdr:nvSpPr>
        <xdr:spPr bwMode="auto">
          <a:xfrm>
            <a:off x="212" y="363"/>
            <a:ext cx="198" cy="1"/>
          </a:xfrm>
          <a:prstGeom prst="rect">
            <a:avLst/>
          </a:prstGeom>
          <a:solidFill>
            <a:srgbClr val="5F97CB"/>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3" name="Rectangle 249">
            <a:extLst>
              <a:ext uri="{FF2B5EF4-FFF2-40B4-BE49-F238E27FC236}">
                <a16:creationId xmlns:a16="http://schemas.microsoft.com/office/drawing/2014/main" id="{00000000-0008-0000-0100-0000F9040000}"/>
              </a:ext>
            </a:extLst>
          </xdr:cNvPr>
          <xdr:cNvSpPr>
            <a:spLocks noChangeArrowheads="1"/>
          </xdr:cNvSpPr>
        </xdr:nvSpPr>
        <xdr:spPr bwMode="auto">
          <a:xfrm>
            <a:off x="212" y="363"/>
            <a:ext cx="198" cy="1"/>
          </a:xfrm>
          <a:prstGeom prst="rect">
            <a:avLst/>
          </a:prstGeom>
          <a:solidFill>
            <a:srgbClr val="5C95C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4" name="Rectangle 250">
            <a:extLst>
              <a:ext uri="{FF2B5EF4-FFF2-40B4-BE49-F238E27FC236}">
                <a16:creationId xmlns:a16="http://schemas.microsoft.com/office/drawing/2014/main" id="{00000000-0008-0000-0100-0000FA040000}"/>
              </a:ext>
            </a:extLst>
          </xdr:cNvPr>
          <xdr:cNvSpPr>
            <a:spLocks noChangeArrowheads="1"/>
          </xdr:cNvSpPr>
        </xdr:nvSpPr>
        <xdr:spPr bwMode="auto">
          <a:xfrm>
            <a:off x="212" y="364"/>
            <a:ext cx="198" cy="1"/>
          </a:xfrm>
          <a:prstGeom prst="rect">
            <a:avLst/>
          </a:prstGeom>
          <a:solidFill>
            <a:srgbClr val="5993C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5" name="Rectangle 251">
            <a:extLst>
              <a:ext uri="{FF2B5EF4-FFF2-40B4-BE49-F238E27FC236}">
                <a16:creationId xmlns:a16="http://schemas.microsoft.com/office/drawing/2014/main" id="{00000000-0008-0000-0100-0000FB040000}"/>
              </a:ext>
            </a:extLst>
          </xdr:cNvPr>
          <xdr:cNvSpPr>
            <a:spLocks noChangeArrowheads="1"/>
          </xdr:cNvSpPr>
        </xdr:nvSpPr>
        <xdr:spPr bwMode="auto">
          <a:xfrm>
            <a:off x="212" y="365"/>
            <a:ext cx="198" cy="1"/>
          </a:xfrm>
          <a:prstGeom prst="rect">
            <a:avLst/>
          </a:prstGeom>
          <a:solidFill>
            <a:srgbClr val="5792C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6" name="Rectangle 252">
            <a:extLst>
              <a:ext uri="{FF2B5EF4-FFF2-40B4-BE49-F238E27FC236}">
                <a16:creationId xmlns:a16="http://schemas.microsoft.com/office/drawing/2014/main" id="{00000000-0008-0000-0100-0000FC040000}"/>
              </a:ext>
            </a:extLst>
          </xdr:cNvPr>
          <xdr:cNvSpPr>
            <a:spLocks noChangeArrowheads="1"/>
          </xdr:cNvSpPr>
        </xdr:nvSpPr>
        <xdr:spPr bwMode="auto">
          <a:xfrm>
            <a:off x="212" y="366"/>
            <a:ext cx="198" cy="1"/>
          </a:xfrm>
          <a:prstGeom prst="rect">
            <a:avLst/>
          </a:prstGeom>
          <a:solidFill>
            <a:srgbClr val="5590C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7" name="Rectangle 253">
            <a:extLst>
              <a:ext uri="{FF2B5EF4-FFF2-40B4-BE49-F238E27FC236}">
                <a16:creationId xmlns:a16="http://schemas.microsoft.com/office/drawing/2014/main" id="{00000000-0008-0000-0100-0000FD040000}"/>
              </a:ext>
            </a:extLst>
          </xdr:cNvPr>
          <xdr:cNvSpPr>
            <a:spLocks noChangeArrowheads="1"/>
          </xdr:cNvSpPr>
        </xdr:nvSpPr>
        <xdr:spPr bwMode="auto">
          <a:xfrm>
            <a:off x="212" y="367"/>
            <a:ext cx="198" cy="1"/>
          </a:xfrm>
          <a:prstGeom prst="rect">
            <a:avLst/>
          </a:prstGeom>
          <a:solidFill>
            <a:srgbClr val="538FC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8" name="Rectangle 254">
            <a:extLst>
              <a:ext uri="{FF2B5EF4-FFF2-40B4-BE49-F238E27FC236}">
                <a16:creationId xmlns:a16="http://schemas.microsoft.com/office/drawing/2014/main" id="{00000000-0008-0000-0100-0000FE040000}"/>
              </a:ext>
            </a:extLst>
          </xdr:cNvPr>
          <xdr:cNvSpPr>
            <a:spLocks noChangeArrowheads="1"/>
          </xdr:cNvSpPr>
        </xdr:nvSpPr>
        <xdr:spPr bwMode="auto">
          <a:xfrm>
            <a:off x="212" y="368"/>
            <a:ext cx="198" cy="1"/>
          </a:xfrm>
          <a:prstGeom prst="rect">
            <a:avLst/>
          </a:prstGeom>
          <a:solidFill>
            <a:srgbClr val="518DC5"/>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9" name="Rectangle 255">
            <a:extLst>
              <a:ext uri="{FF2B5EF4-FFF2-40B4-BE49-F238E27FC236}">
                <a16:creationId xmlns:a16="http://schemas.microsoft.com/office/drawing/2014/main" id="{00000000-0008-0000-0100-0000FF040000}"/>
              </a:ext>
            </a:extLst>
          </xdr:cNvPr>
          <xdr:cNvSpPr>
            <a:spLocks noChangeArrowheads="1"/>
          </xdr:cNvSpPr>
        </xdr:nvSpPr>
        <xdr:spPr bwMode="auto">
          <a:xfrm>
            <a:off x="212" y="368"/>
            <a:ext cx="198" cy="1"/>
          </a:xfrm>
          <a:prstGeom prst="rect">
            <a:avLst/>
          </a:prstGeom>
          <a:solidFill>
            <a:srgbClr val="4F8CC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0" name="Rectangle 256">
            <a:extLst>
              <a:ext uri="{FF2B5EF4-FFF2-40B4-BE49-F238E27FC236}">
                <a16:creationId xmlns:a16="http://schemas.microsoft.com/office/drawing/2014/main" id="{00000000-0008-0000-0100-000000050000}"/>
              </a:ext>
            </a:extLst>
          </xdr:cNvPr>
          <xdr:cNvSpPr>
            <a:spLocks noChangeArrowheads="1"/>
          </xdr:cNvSpPr>
        </xdr:nvSpPr>
        <xdr:spPr bwMode="auto">
          <a:xfrm>
            <a:off x="212" y="369"/>
            <a:ext cx="198" cy="1"/>
          </a:xfrm>
          <a:prstGeom prst="rect">
            <a:avLst/>
          </a:prstGeom>
          <a:solidFill>
            <a:srgbClr val="4D8BC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1" name="Rectangle 257">
            <a:extLst>
              <a:ext uri="{FF2B5EF4-FFF2-40B4-BE49-F238E27FC236}">
                <a16:creationId xmlns:a16="http://schemas.microsoft.com/office/drawing/2014/main" id="{00000000-0008-0000-0100-000001050000}"/>
              </a:ext>
            </a:extLst>
          </xdr:cNvPr>
          <xdr:cNvSpPr>
            <a:spLocks noChangeArrowheads="1"/>
          </xdr:cNvSpPr>
        </xdr:nvSpPr>
        <xdr:spPr bwMode="auto">
          <a:xfrm>
            <a:off x="212" y="370"/>
            <a:ext cx="198" cy="1"/>
          </a:xfrm>
          <a:prstGeom prst="rect">
            <a:avLst/>
          </a:prstGeom>
          <a:solidFill>
            <a:srgbClr val="4B8AC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2" name="Rectangle 258">
            <a:extLst>
              <a:ext uri="{FF2B5EF4-FFF2-40B4-BE49-F238E27FC236}">
                <a16:creationId xmlns:a16="http://schemas.microsoft.com/office/drawing/2014/main" id="{00000000-0008-0000-0100-000002050000}"/>
              </a:ext>
            </a:extLst>
          </xdr:cNvPr>
          <xdr:cNvSpPr>
            <a:spLocks noChangeArrowheads="1"/>
          </xdr:cNvSpPr>
        </xdr:nvSpPr>
        <xdr:spPr bwMode="auto">
          <a:xfrm>
            <a:off x="212" y="370"/>
            <a:ext cx="198" cy="1"/>
          </a:xfrm>
          <a:prstGeom prst="rect">
            <a:avLst/>
          </a:prstGeom>
          <a:solidFill>
            <a:srgbClr val="4988C2"/>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3" name="Rectangle 259">
            <a:extLst>
              <a:ext uri="{FF2B5EF4-FFF2-40B4-BE49-F238E27FC236}">
                <a16:creationId xmlns:a16="http://schemas.microsoft.com/office/drawing/2014/main" id="{00000000-0008-0000-0100-000003050000}"/>
              </a:ext>
            </a:extLst>
          </xdr:cNvPr>
          <xdr:cNvSpPr>
            <a:spLocks noChangeArrowheads="1"/>
          </xdr:cNvSpPr>
        </xdr:nvSpPr>
        <xdr:spPr bwMode="auto">
          <a:xfrm>
            <a:off x="212" y="371"/>
            <a:ext cx="198" cy="1"/>
          </a:xfrm>
          <a:prstGeom prst="rect">
            <a:avLst/>
          </a:prstGeom>
          <a:solidFill>
            <a:srgbClr val="4787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4" name="Rectangle 260">
            <a:extLst>
              <a:ext uri="{FF2B5EF4-FFF2-40B4-BE49-F238E27FC236}">
                <a16:creationId xmlns:a16="http://schemas.microsoft.com/office/drawing/2014/main" id="{00000000-0008-0000-0100-000004050000}"/>
              </a:ext>
            </a:extLst>
          </xdr:cNvPr>
          <xdr:cNvSpPr>
            <a:spLocks noChangeArrowheads="1"/>
          </xdr:cNvSpPr>
        </xdr:nvSpPr>
        <xdr:spPr bwMode="auto">
          <a:xfrm>
            <a:off x="212" y="372"/>
            <a:ext cx="198" cy="1"/>
          </a:xfrm>
          <a:prstGeom prst="rect">
            <a:avLst/>
          </a:prstGeom>
          <a:solidFill>
            <a:srgbClr val="4585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5" name="Rectangle 261">
            <a:extLst>
              <a:ext uri="{FF2B5EF4-FFF2-40B4-BE49-F238E27FC236}">
                <a16:creationId xmlns:a16="http://schemas.microsoft.com/office/drawing/2014/main" id="{00000000-0008-0000-0100-000005050000}"/>
              </a:ext>
            </a:extLst>
          </xdr:cNvPr>
          <xdr:cNvSpPr>
            <a:spLocks noChangeArrowheads="1"/>
          </xdr:cNvSpPr>
        </xdr:nvSpPr>
        <xdr:spPr bwMode="auto">
          <a:xfrm>
            <a:off x="212" y="373"/>
            <a:ext cx="198" cy="1"/>
          </a:xfrm>
          <a:prstGeom prst="rect">
            <a:avLst/>
          </a:prstGeom>
          <a:solidFill>
            <a:srgbClr val="4383B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6" name="Rectangle 262">
            <a:extLst>
              <a:ext uri="{FF2B5EF4-FFF2-40B4-BE49-F238E27FC236}">
                <a16:creationId xmlns:a16="http://schemas.microsoft.com/office/drawing/2014/main" id="{00000000-0008-0000-0100-000006050000}"/>
              </a:ext>
            </a:extLst>
          </xdr:cNvPr>
          <xdr:cNvSpPr>
            <a:spLocks noChangeArrowheads="1"/>
          </xdr:cNvSpPr>
        </xdr:nvSpPr>
        <xdr:spPr bwMode="auto">
          <a:xfrm>
            <a:off x="212" y="374"/>
            <a:ext cx="198" cy="1"/>
          </a:xfrm>
          <a:prstGeom prst="rect">
            <a:avLst/>
          </a:prstGeom>
          <a:solidFill>
            <a:srgbClr val="4082BE"/>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7" name="Rectangle 263">
            <a:extLst>
              <a:ext uri="{FF2B5EF4-FFF2-40B4-BE49-F238E27FC236}">
                <a16:creationId xmlns:a16="http://schemas.microsoft.com/office/drawing/2014/main" id="{00000000-0008-0000-0100-000007050000}"/>
              </a:ext>
            </a:extLst>
          </xdr:cNvPr>
          <xdr:cNvSpPr>
            <a:spLocks noChangeArrowheads="1"/>
          </xdr:cNvSpPr>
        </xdr:nvSpPr>
        <xdr:spPr bwMode="auto">
          <a:xfrm>
            <a:off x="212" y="375"/>
            <a:ext cx="198" cy="1"/>
          </a:xfrm>
          <a:prstGeom prst="rect">
            <a:avLst/>
          </a:prstGeom>
          <a:solidFill>
            <a:srgbClr val="3E80B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8" name="Rectangle 264">
            <a:extLst>
              <a:ext uri="{FF2B5EF4-FFF2-40B4-BE49-F238E27FC236}">
                <a16:creationId xmlns:a16="http://schemas.microsoft.com/office/drawing/2014/main" id="{00000000-0008-0000-0100-000008050000}"/>
              </a:ext>
            </a:extLst>
          </xdr:cNvPr>
          <xdr:cNvSpPr>
            <a:spLocks noChangeArrowheads="1"/>
          </xdr:cNvSpPr>
        </xdr:nvSpPr>
        <xdr:spPr bwMode="auto">
          <a:xfrm>
            <a:off x="212" y="375"/>
            <a:ext cx="198" cy="1"/>
          </a:xfrm>
          <a:prstGeom prst="rect">
            <a:avLst/>
          </a:prstGeom>
          <a:solidFill>
            <a:srgbClr val="3C7FB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9" name="Rectangle 265">
            <a:extLst>
              <a:ext uri="{FF2B5EF4-FFF2-40B4-BE49-F238E27FC236}">
                <a16:creationId xmlns:a16="http://schemas.microsoft.com/office/drawing/2014/main" id="{00000000-0008-0000-0100-000009050000}"/>
              </a:ext>
            </a:extLst>
          </xdr:cNvPr>
          <xdr:cNvSpPr>
            <a:spLocks noChangeArrowheads="1"/>
          </xdr:cNvSpPr>
        </xdr:nvSpPr>
        <xdr:spPr bwMode="auto">
          <a:xfrm>
            <a:off x="212" y="376"/>
            <a:ext cx="198" cy="1"/>
          </a:xfrm>
          <a:prstGeom prst="rect">
            <a:avLst/>
          </a:prstGeom>
          <a:solidFill>
            <a:srgbClr val="3A7DBB"/>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0" name="Rectangle 266">
            <a:extLst>
              <a:ext uri="{FF2B5EF4-FFF2-40B4-BE49-F238E27FC236}">
                <a16:creationId xmlns:a16="http://schemas.microsoft.com/office/drawing/2014/main" id="{00000000-0008-0000-0100-00000A050000}"/>
              </a:ext>
            </a:extLst>
          </xdr:cNvPr>
          <xdr:cNvSpPr>
            <a:spLocks noChangeArrowheads="1"/>
          </xdr:cNvSpPr>
        </xdr:nvSpPr>
        <xdr:spPr bwMode="auto">
          <a:xfrm>
            <a:off x="212" y="377"/>
            <a:ext cx="198" cy="1"/>
          </a:xfrm>
          <a:prstGeom prst="rect">
            <a:avLst/>
          </a:prstGeom>
          <a:solidFill>
            <a:srgbClr val="387CBA"/>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1" name="Rectangle 267">
            <a:extLst>
              <a:ext uri="{FF2B5EF4-FFF2-40B4-BE49-F238E27FC236}">
                <a16:creationId xmlns:a16="http://schemas.microsoft.com/office/drawing/2014/main" id="{00000000-0008-0000-0100-00000B050000}"/>
              </a:ext>
            </a:extLst>
          </xdr:cNvPr>
          <xdr:cNvSpPr>
            <a:spLocks noChangeArrowheads="1"/>
          </xdr:cNvSpPr>
        </xdr:nvSpPr>
        <xdr:spPr bwMode="auto">
          <a:xfrm>
            <a:off x="212" y="378"/>
            <a:ext cx="198" cy="1"/>
          </a:xfrm>
          <a:prstGeom prst="rect">
            <a:avLst/>
          </a:prstGeom>
          <a:solidFill>
            <a:srgbClr val="367AB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2" name="Rectangle 268">
            <a:extLst>
              <a:ext uri="{FF2B5EF4-FFF2-40B4-BE49-F238E27FC236}">
                <a16:creationId xmlns:a16="http://schemas.microsoft.com/office/drawing/2014/main" id="{00000000-0008-0000-0100-00000C050000}"/>
              </a:ext>
            </a:extLst>
          </xdr:cNvPr>
          <xdr:cNvSpPr>
            <a:spLocks noChangeArrowheads="1"/>
          </xdr:cNvSpPr>
        </xdr:nvSpPr>
        <xdr:spPr bwMode="auto">
          <a:xfrm>
            <a:off x="212" y="378"/>
            <a:ext cx="198" cy="1"/>
          </a:xfrm>
          <a:prstGeom prst="rect">
            <a:avLst/>
          </a:prstGeom>
          <a:solidFill>
            <a:srgbClr val="347AB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3" name="Rectangle 269">
            <a:extLst>
              <a:ext uri="{FF2B5EF4-FFF2-40B4-BE49-F238E27FC236}">
                <a16:creationId xmlns:a16="http://schemas.microsoft.com/office/drawing/2014/main" id="{00000000-0008-0000-0100-00000D050000}"/>
              </a:ext>
            </a:extLst>
          </xdr:cNvPr>
          <xdr:cNvSpPr>
            <a:spLocks noChangeArrowheads="1"/>
          </xdr:cNvSpPr>
        </xdr:nvSpPr>
        <xdr:spPr bwMode="auto">
          <a:xfrm>
            <a:off x="212" y="379"/>
            <a:ext cx="198" cy="1"/>
          </a:xfrm>
          <a:prstGeom prst="rect">
            <a:avLst/>
          </a:prstGeom>
          <a:solidFill>
            <a:srgbClr val="3278B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4" name="Rectangle 270">
            <a:extLst>
              <a:ext uri="{FF2B5EF4-FFF2-40B4-BE49-F238E27FC236}">
                <a16:creationId xmlns:a16="http://schemas.microsoft.com/office/drawing/2014/main" id="{00000000-0008-0000-0100-00000E050000}"/>
              </a:ext>
            </a:extLst>
          </xdr:cNvPr>
          <xdr:cNvSpPr>
            <a:spLocks noChangeArrowheads="1"/>
          </xdr:cNvSpPr>
        </xdr:nvSpPr>
        <xdr:spPr bwMode="auto">
          <a:xfrm>
            <a:off x="212" y="380"/>
            <a:ext cx="198" cy="1"/>
          </a:xfrm>
          <a:prstGeom prst="rect">
            <a:avLst/>
          </a:prstGeom>
          <a:solidFill>
            <a:srgbClr val="2F76B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5" name="Freeform 271">
            <a:extLst>
              <a:ext uri="{FF2B5EF4-FFF2-40B4-BE49-F238E27FC236}">
                <a16:creationId xmlns:a16="http://schemas.microsoft.com/office/drawing/2014/main" id="{00000000-0008-0000-0100-00000F050000}"/>
              </a:ext>
            </a:extLst>
          </xdr:cNvPr>
          <xdr:cNvSpPr>
            <a:spLocks/>
          </xdr:cNvSpPr>
        </xdr:nvSpPr>
        <xdr:spPr bwMode="auto">
          <a:xfrm>
            <a:off x="212" y="278"/>
            <a:ext cx="198" cy="103"/>
          </a:xfrm>
          <a:custGeom>
            <a:avLst/>
            <a:gdLst>
              <a:gd name="T0" fmla="*/ 0 w 198"/>
              <a:gd name="T1" fmla="*/ 0 h 103"/>
              <a:gd name="T2" fmla="*/ 17 w 198"/>
              <a:gd name="T3" fmla="*/ 103 h 103"/>
              <a:gd name="T4" fmla="*/ 181 w 198"/>
              <a:gd name="T5" fmla="*/ 103 h 103"/>
              <a:gd name="T6" fmla="*/ 198 w 198"/>
              <a:gd name="T7" fmla="*/ 0 h 103"/>
              <a:gd name="T8" fmla="*/ 0 w 198"/>
              <a:gd name="T9" fmla="*/ 0 h 103"/>
            </a:gdLst>
            <a:ahLst/>
            <a:cxnLst>
              <a:cxn ang="0">
                <a:pos x="T0" y="T1"/>
              </a:cxn>
              <a:cxn ang="0">
                <a:pos x="T2" y="T3"/>
              </a:cxn>
              <a:cxn ang="0">
                <a:pos x="T4" y="T5"/>
              </a:cxn>
              <a:cxn ang="0">
                <a:pos x="T6" y="T7"/>
              </a:cxn>
              <a:cxn ang="0">
                <a:pos x="T8" y="T9"/>
              </a:cxn>
            </a:cxnLst>
            <a:rect l="0" t="0" r="r" b="b"/>
            <a:pathLst>
              <a:path w="198" h="103">
                <a:moveTo>
                  <a:pt x="0" y="0"/>
                </a:moveTo>
                <a:lnTo>
                  <a:pt x="17" y="103"/>
                </a:lnTo>
                <a:lnTo>
                  <a:pt x="181" y="103"/>
                </a:lnTo>
                <a:lnTo>
                  <a:pt x="198" y="0"/>
                </a:lnTo>
                <a:lnTo>
                  <a:pt x="0" y="0"/>
                </a:lnTo>
                <a:close/>
              </a:path>
            </a:pathLst>
          </a:custGeom>
          <a:noFill/>
          <a:ln w="9525"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96" name="Line 272">
            <a:extLst>
              <a:ext uri="{FF2B5EF4-FFF2-40B4-BE49-F238E27FC236}">
                <a16:creationId xmlns:a16="http://schemas.microsoft.com/office/drawing/2014/main" id="{00000000-0008-0000-0100-000010050000}"/>
              </a:ext>
            </a:extLst>
          </xdr:cNvPr>
          <xdr:cNvSpPr>
            <a:spLocks noChangeShapeType="1"/>
          </xdr:cNvSpPr>
        </xdr:nvSpPr>
        <xdr:spPr bwMode="auto">
          <a:xfrm>
            <a:off x="205" y="278"/>
            <a:ext cx="924" cy="0"/>
          </a:xfrm>
          <a:prstGeom prst="line">
            <a:avLst/>
          </a:prstGeom>
          <a:noFill/>
          <a:ln w="9525"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297" name="Line 273">
            <a:extLst>
              <a:ext uri="{FF2B5EF4-FFF2-40B4-BE49-F238E27FC236}">
                <a16:creationId xmlns:a16="http://schemas.microsoft.com/office/drawing/2014/main" id="{00000000-0008-0000-0100-000011050000}"/>
              </a:ext>
            </a:extLst>
          </xdr:cNvPr>
          <xdr:cNvSpPr>
            <a:spLocks noChangeShapeType="1"/>
          </xdr:cNvSpPr>
        </xdr:nvSpPr>
        <xdr:spPr bwMode="auto">
          <a:xfrm>
            <a:off x="591" y="249"/>
            <a:ext cx="19" cy="0"/>
          </a:xfrm>
          <a:prstGeom prst="line">
            <a:avLst/>
          </a:prstGeom>
          <a:noFill/>
          <a:ln w="9525"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298" name="Freeform 274">
            <a:extLst>
              <a:ext uri="{FF2B5EF4-FFF2-40B4-BE49-F238E27FC236}">
                <a16:creationId xmlns:a16="http://schemas.microsoft.com/office/drawing/2014/main" id="{00000000-0008-0000-0100-000012050000}"/>
              </a:ext>
            </a:extLst>
          </xdr:cNvPr>
          <xdr:cNvSpPr>
            <a:spLocks noEditPoints="1"/>
          </xdr:cNvSpPr>
        </xdr:nvSpPr>
        <xdr:spPr bwMode="auto">
          <a:xfrm>
            <a:off x="590" y="227"/>
            <a:ext cx="20" cy="22"/>
          </a:xfrm>
          <a:custGeom>
            <a:avLst/>
            <a:gdLst>
              <a:gd name="T0" fmla="*/ 33 w 752"/>
              <a:gd name="T1" fmla="*/ 878 h 878"/>
              <a:gd name="T2" fmla="*/ 740 w 752"/>
              <a:gd name="T3" fmla="*/ 48 h 878"/>
              <a:gd name="T4" fmla="*/ 708 w 752"/>
              <a:gd name="T5" fmla="*/ 20 h 878"/>
              <a:gd name="T6" fmla="*/ 0 w 752"/>
              <a:gd name="T7" fmla="*/ 851 h 878"/>
              <a:gd name="T8" fmla="*/ 33 w 752"/>
              <a:gd name="T9" fmla="*/ 878 h 878"/>
              <a:gd name="T10" fmla="*/ 658 w 752"/>
              <a:gd name="T11" fmla="*/ 469 h 878"/>
              <a:gd name="T12" fmla="*/ 752 w 752"/>
              <a:gd name="T13" fmla="*/ 0 h 878"/>
              <a:gd name="T14" fmla="*/ 305 w 752"/>
              <a:gd name="T15" fmla="*/ 168 h 878"/>
              <a:gd name="T16" fmla="*/ 293 w 752"/>
              <a:gd name="T17" fmla="*/ 195 h 878"/>
              <a:gd name="T18" fmla="*/ 320 w 752"/>
              <a:gd name="T19" fmla="*/ 208 h 878"/>
              <a:gd name="T20" fmla="*/ 731 w 752"/>
              <a:gd name="T21" fmla="*/ 54 h 878"/>
              <a:gd name="T22" fmla="*/ 703 w 752"/>
              <a:gd name="T23" fmla="*/ 30 h 878"/>
              <a:gd name="T24" fmla="*/ 616 w 752"/>
              <a:gd name="T25" fmla="*/ 460 h 878"/>
              <a:gd name="T26" fmla="*/ 633 w 752"/>
              <a:gd name="T27" fmla="*/ 485 h 878"/>
              <a:gd name="T28" fmla="*/ 658 w 752"/>
              <a:gd name="T29" fmla="*/ 469 h 8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52" h="878">
                <a:moveTo>
                  <a:pt x="33" y="878"/>
                </a:moveTo>
                <a:lnTo>
                  <a:pt x="740" y="48"/>
                </a:lnTo>
                <a:lnTo>
                  <a:pt x="708" y="20"/>
                </a:lnTo>
                <a:lnTo>
                  <a:pt x="0" y="851"/>
                </a:lnTo>
                <a:lnTo>
                  <a:pt x="33" y="878"/>
                </a:lnTo>
                <a:close/>
                <a:moveTo>
                  <a:pt x="658" y="469"/>
                </a:moveTo>
                <a:lnTo>
                  <a:pt x="752" y="0"/>
                </a:lnTo>
                <a:lnTo>
                  <a:pt x="305" y="168"/>
                </a:lnTo>
                <a:cubicBezTo>
                  <a:pt x="294" y="172"/>
                  <a:pt x="288" y="184"/>
                  <a:pt x="293" y="195"/>
                </a:cubicBezTo>
                <a:cubicBezTo>
                  <a:pt x="297" y="206"/>
                  <a:pt x="309" y="212"/>
                  <a:pt x="320" y="208"/>
                </a:cubicBezTo>
                <a:lnTo>
                  <a:pt x="731" y="54"/>
                </a:lnTo>
                <a:lnTo>
                  <a:pt x="703" y="30"/>
                </a:lnTo>
                <a:lnTo>
                  <a:pt x="616" y="460"/>
                </a:lnTo>
                <a:cubicBezTo>
                  <a:pt x="614" y="472"/>
                  <a:pt x="622" y="483"/>
                  <a:pt x="633" y="485"/>
                </a:cubicBezTo>
                <a:cubicBezTo>
                  <a:pt x="645" y="488"/>
                  <a:pt x="656" y="480"/>
                  <a:pt x="658" y="469"/>
                </a:cubicBezTo>
                <a:close/>
              </a:path>
            </a:pathLst>
          </a:custGeom>
          <a:solidFill>
            <a:srgbClr val="000000"/>
          </a:solidFill>
          <a:ln w="0" cap="flat">
            <a:solidFill>
              <a:srgbClr val="000000"/>
            </a:solidFill>
            <a:prstDash val="solid"/>
            <a:round/>
            <a:headEnd/>
            <a:tailEnd/>
          </a:ln>
        </xdr:spPr>
      </xdr:sp>
      <xdr:sp macro="" textlink="">
        <xdr:nvSpPr>
          <xdr:cNvPr id="1299" name="Line 275">
            <a:extLst>
              <a:ext uri="{FF2B5EF4-FFF2-40B4-BE49-F238E27FC236}">
                <a16:creationId xmlns:a16="http://schemas.microsoft.com/office/drawing/2014/main" id="{00000000-0008-0000-0100-000013050000}"/>
              </a:ext>
            </a:extLst>
          </xdr:cNvPr>
          <xdr:cNvSpPr>
            <a:spLocks noChangeShapeType="1"/>
          </xdr:cNvSpPr>
        </xdr:nvSpPr>
        <xdr:spPr bwMode="auto">
          <a:xfrm flipV="1">
            <a:off x="591" y="249"/>
            <a:ext cx="19" cy="22"/>
          </a:xfrm>
          <a:prstGeom prst="line">
            <a:avLst/>
          </a:prstGeom>
          <a:noFill/>
          <a:ln w="9525"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00" name="Rectangle 276">
            <a:extLst>
              <a:ext uri="{FF2B5EF4-FFF2-40B4-BE49-F238E27FC236}">
                <a16:creationId xmlns:a16="http://schemas.microsoft.com/office/drawing/2014/main" id="{00000000-0008-0000-0100-000014050000}"/>
              </a:ext>
            </a:extLst>
          </xdr:cNvPr>
          <xdr:cNvSpPr>
            <a:spLocks noChangeArrowheads="1"/>
          </xdr:cNvSpPr>
        </xdr:nvSpPr>
        <xdr:spPr bwMode="auto">
          <a:xfrm>
            <a:off x="707" y="355"/>
            <a:ext cx="27"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WKO</a:t>
            </a:r>
          </a:p>
        </xdr:txBody>
      </xdr:sp>
      <xdr:sp macro="" textlink="">
        <xdr:nvSpPr>
          <xdr:cNvPr id="1301" name="Rectangle 277">
            <a:extLst>
              <a:ext uri="{FF2B5EF4-FFF2-40B4-BE49-F238E27FC236}">
                <a16:creationId xmlns:a16="http://schemas.microsoft.com/office/drawing/2014/main" id="{00000000-0008-0000-0100-000015050000}"/>
              </a:ext>
            </a:extLst>
          </xdr:cNvPr>
          <xdr:cNvSpPr>
            <a:spLocks noChangeArrowheads="1"/>
          </xdr:cNvSpPr>
        </xdr:nvSpPr>
        <xdr:spPr bwMode="auto">
          <a:xfrm>
            <a:off x="734" y="355"/>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a:t>
            </a:r>
          </a:p>
        </xdr:txBody>
      </xdr:sp>
      <xdr:sp macro="" textlink="">
        <xdr:nvSpPr>
          <xdr:cNvPr id="1302" name="Rectangle 278">
            <a:extLst>
              <a:ext uri="{FF2B5EF4-FFF2-40B4-BE49-F238E27FC236}">
                <a16:creationId xmlns:a16="http://schemas.microsoft.com/office/drawing/2014/main" id="{00000000-0008-0000-0100-000016050000}"/>
              </a:ext>
            </a:extLst>
          </xdr:cNvPr>
          <xdr:cNvSpPr>
            <a:spLocks noChangeArrowheads="1"/>
          </xdr:cNvSpPr>
        </xdr:nvSpPr>
        <xdr:spPr bwMode="auto">
          <a:xfrm>
            <a:off x="737" y="355"/>
            <a:ext cx="57"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installatie</a:t>
            </a:r>
          </a:p>
        </xdr:txBody>
      </xdr:sp>
      <xdr:sp macro="" textlink="">
        <xdr:nvSpPr>
          <xdr:cNvPr id="1303" name="Rectangle 279">
            <a:extLst>
              <a:ext uri="{FF2B5EF4-FFF2-40B4-BE49-F238E27FC236}">
                <a16:creationId xmlns:a16="http://schemas.microsoft.com/office/drawing/2014/main" id="{00000000-0008-0000-0100-000017050000}"/>
              </a:ext>
            </a:extLst>
          </xdr:cNvPr>
          <xdr:cNvSpPr>
            <a:spLocks noChangeArrowheads="1"/>
          </xdr:cNvSpPr>
        </xdr:nvSpPr>
        <xdr:spPr bwMode="auto">
          <a:xfrm>
            <a:off x="707" y="372"/>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04" name="Rectangle 280">
            <a:extLst>
              <a:ext uri="{FF2B5EF4-FFF2-40B4-BE49-F238E27FC236}">
                <a16:creationId xmlns:a16="http://schemas.microsoft.com/office/drawing/2014/main" id="{00000000-0008-0000-0100-000018050000}"/>
              </a:ext>
            </a:extLst>
          </xdr:cNvPr>
          <xdr:cNvSpPr>
            <a:spLocks noChangeArrowheads="1"/>
          </xdr:cNvSpPr>
        </xdr:nvSpPr>
        <xdr:spPr bwMode="auto">
          <a:xfrm>
            <a:off x="709" y="372"/>
            <a:ext cx="5"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a:t>
            </a:r>
          </a:p>
        </xdr:txBody>
      </xdr:sp>
      <xdr:sp macro="" textlink="">
        <xdr:nvSpPr>
          <xdr:cNvPr id="1305" name="Rectangle 281">
            <a:extLst>
              <a:ext uri="{FF2B5EF4-FFF2-40B4-BE49-F238E27FC236}">
                <a16:creationId xmlns:a16="http://schemas.microsoft.com/office/drawing/2014/main" id="{00000000-0008-0000-0100-000019050000}"/>
              </a:ext>
            </a:extLst>
          </xdr:cNvPr>
          <xdr:cNvSpPr>
            <a:spLocks noChangeArrowheads="1"/>
          </xdr:cNvSpPr>
        </xdr:nvSpPr>
        <xdr:spPr bwMode="auto">
          <a:xfrm>
            <a:off x="717" y="372"/>
            <a:ext cx="85"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Wel/geen WKO</a:t>
            </a:r>
          </a:p>
        </xdr:txBody>
      </xdr:sp>
      <xdr:sp macro="" textlink="">
        <xdr:nvSpPr>
          <xdr:cNvPr id="1306" name="Rectangle 282">
            <a:extLst>
              <a:ext uri="{FF2B5EF4-FFF2-40B4-BE49-F238E27FC236}">
                <a16:creationId xmlns:a16="http://schemas.microsoft.com/office/drawing/2014/main" id="{00000000-0008-0000-0100-00001A050000}"/>
              </a:ext>
            </a:extLst>
          </xdr:cNvPr>
          <xdr:cNvSpPr>
            <a:spLocks noChangeArrowheads="1"/>
          </xdr:cNvSpPr>
        </xdr:nvSpPr>
        <xdr:spPr bwMode="auto">
          <a:xfrm>
            <a:off x="707" y="387"/>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07" name="Rectangle 283">
            <a:extLst>
              <a:ext uri="{FF2B5EF4-FFF2-40B4-BE49-F238E27FC236}">
                <a16:creationId xmlns:a16="http://schemas.microsoft.com/office/drawing/2014/main" id="{00000000-0008-0000-0100-00001B050000}"/>
              </a:ext>
            </a:extLst>
          </xdr:cNvPr>
          <xdr:cNvSpPr>
            <a:spLocks noChangeArrowheads="1"/>
          </xdr:cNvSpPr>
        </xdr:nvSpPr>
        <xdr:spPr bwMode="auto">
          <a:xfrm>
            <a:off x="709" y="387"/>
            <a:ext cx="10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Opslagcapaciteit</a:t>
            </a:r>
          </a:p>
        </xdr:txBody>
      </xdr:sp>
      <xdr:sp macro="" textlink="">
        <xdr:nvSpPr>
          <xdr:cNvPr id="1308" name="Rectangle 284">
            <a:extLst>
              <a:ext uri="{FF2B5EF4-FFF2-40B4-BE49-F238E27FC236}">
                <a16:creationId xmlns:a16="http://schemas.microsoft.com/office/drawing/2014/main" id="{00000000-0008-0000-0100-00001C050000}"/>
              </a:ext>
            </a:extLst>
          </xdr:cNvPr>
          <xdr:cNvSpPr>
            <a:spLocks noChangeArrowheads="1"/>
          </xdr:cNvSpPr>
        </xdr:nvSpPr>
        <xdr:spPr bwMode="auto">
          <a:xfrm>
            <a:off x="707" y="403"/>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09" name="Rectangle 285">
            <a:extLst>
              <a:ext uri="{FF2B5EF4-FFF2-40B4-BE49-F238E27FC236}">
                <a16:creationId xmlns:a16="http://schemas.microsoft.com/office/drawing/2014/main" id="{00000000-0008-0000-0100-00001D050000}"/>
              </a:ext>
            </a:extLst>
          </xdr:cNvPr>
          <xdr:cNvSpPr>
            <a:spLocks noChangeArrowheads="1"/>
          </xdr:cNvSpPr>
        </xdr:nvSpPr>
        <xdr:spPr bwMode="auto">
          <a:xfrm>
            <a:off x="709" y="403"/>
            <a:ext cx="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Diepte bronnen</a:t>
            </a:r>
          </a:p>
        </xdr:txBody>
      </xdr:sp>
      <xdr:sp macro="" textlink="">
        <xdr:nvSpPr>
          <xdr:cNvPr id="1310" name="Rectangle 286">
            <a:extLst>
              <a:ext uri="{FF2B5EF4-FFF2-40B4-BE49-F238E27FC236}">
                <a16:creationId xmlns:a16="http://schemas.microsoft.com/office/drawing/2014/main" id="{00000000-0008-0000-0100-00001E050000}"/>
              </a:ext>
            </a:extLst>
          </xdr:cNvPr>
          <xdr:cNvSpPr>
            <a:spLocks noChangeArrowheads="1"/>
          </xdr:cNvSpPr>
        </xdr:nvSpPr>
        <xdr:spPr bwMode="auto">
          <a:xfrm>
            <a:off x="707" y="419"/>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11" name="Rectangle 287">
            <a:extLst>
              <a:ext uri="{FF2B5EF4-FFF2-40B4-BE49-F238E27FC236}">
                <a16:creationId xmlns:a16="http://schemas.microsoft.com/office/drawing/2014/main" id="{00000000-0008-0000-0100-00001F050000}"/>
              </a:ext>
            </a:extLst>
          </xdr:cNvPr>
          <xdr:cNvSpPr>
            <a:spLocks noChangeArrowheads="1"/>
          </xdr:cNvSpPr>
        </xdr:nvSpPr>
        <xdr:spPr bwMode="auto">
          <a:xfrm>
            <a:off x="709" y="419"/>
            <a:ext cx="7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Leidingwerk</a:t>
            </a:r>
          </a:p>
        </xdr:txBody>
      </xdr:sp>
      <xdr:sp macro="" textlink="">
        <xdr:nvSpPr>
          <xdr:cNvPr id="1312" name="Rectangle 288">
            <a:extLst>
              <a:ext uri="{FF2B5EF4-FFF2-40B4-BE49-F238E27FC236}">
                <a16:creationId xmlns:a16="http://schemas.microsoft.com/office/drawing/2014/main" id="{00000000-0008-0000-0100-000020050000}"/>
              </a:ext>
            </a:extLst>
          </xdr:cNvPr>
          <xdr:cNvSpPr>
            <a:spLocks noChangeArrowheads="1"/>
          </xdr:cNvSpPr>
        </xdr:nvSpPr>
        <xdr:spPr bwMode="auto">
          <a:xfrm>
            <a:off x="241" y="393"/>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1" i="0" u="none" strike="noStrike" baseline="0">
                <a:solidFill>
                  <a:srgbClr val="000000"/>
                </a:solidFill>
                <a:latin typeface="MetaNormalLF-Roman"/>
              </a:rPr>
              <a:t>Aquathermie</a:t>
            </a:r>
          </a:p>
        </xdr:txBody>
      </xdr:sp>
      <xdr:sp macro="" textlink="">
        <xdr:nvSpPr>
          <xdr:cNvPr id="1313" name="Rectangle 289">
            <a:extLst>
              <a:ext uri="{FF2B5EF4-FFF2-40B4-BE49-F238E27FC236}">
                <a16:creationId xmlns:a16="http://schemas.microsoft.com/office/drawing/2014/main" id="{00000000-0008-0000-0100-000021050000}"/>
              </a:ext>
            </a:extLst>
          </xdr:cNvPr>
          <xdr:cNvSpPr>
            <a:spLocks noChangeArrowheads="1"/>
          </xdr:cNvSpPr>
        </xdr:nvSpPr>
        <xdr:spPr bwMode="auto">
          <a:xfrm>
            <a:off x="241" y="409"/>
            <a:ext cx="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a:t>
            </a:r>
          </a:p>
        </xdr:txBody>
      </xdr:sp>
      <xdr:sp macro="" textlink="">
        <xdr:nvSpPr>
          <xdr:cNvPr id="1314" name="Rectangle 290">
            <a:extLst>
              <a:ext uri="{FF2B5EF4-FFF2-40B4-BE49-F238E27FC236}">
                <a16:creationId xmlns:a16="http://schemas.microsoft.com/office/drawing/2014/main" id="{00000000-0008-0000-0100-000022050000}"/>
              </a:ext>
            </a:extLst>
          </xdr:cNvPr>
          <xdr:cNvSpPr>
            <a:spLocks noChangeArrowheads="1"/>
          </xdr:cNvSpPr>
        </xdr:nvSpPr>
        <xdr:spPr bwMode="auto">
          <a:xfrm>
            <a:off x="243" y="409"/>
            <a:ext cx="10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&gt; Type (TEO, TEA)</a:t>
            </a:r>
          </a:p>
        </xdr:txBody>
      </xdr:sp>
      <xdr:sp macro="" textlink="">
        <xdr:nvSpPr>
          <xdr:cNvPr id="1315" name="Rectangle 291">
            <a:extLst>
              <a:ext uri="{FF2B5EF4-FFF2-40B4-BE49-F238E27FC236}">
                <a16:creationId xmlns:a16="http://schemas.microsoft.com/office/drawing/2014/main" id="{00000000-0008-0000-0100-000023050000}"/>
              </a:ext>
            </a:extLst>
          </xdr:cNvPr>
          <xdr:cNvSpPr>
            <a:spLocks noChangeArrowheads="1"/>
          </xdr:cNvSpPr>
        </xdr:nvSpPr>
        <xdr:spPr bwMode="auto">
          <a:xfrm>
            <a:off x="241" y="426"/>
            <a:ext cx="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a:t>
            </a:r>
          </a:p>
        </xdr:txBody>
      </xdr:sp>
      <xdr:sp macro="" textlink="">
        <xdr:nvSpPr>
          <xdr:cNvPr id="1316" name="Rectangle 292">
            <a:extLst>
              <a:ext uri="{FF2B5EF4-FFF2-40B4-BE49-F238E27FC236}">
                <a16:creationId xmlns:a16="http://schemas.microsoft.com/office/drawing/2014/main" id="{00000000-0008-0000-0100-000024050000}"/>
              </a:ext>
            </a:extLst>
          </xdr:cNvPr>
          <xdr:cNvSpPr>
            <a:spLocks noChangeArrowheads="1"/>
          </xdr:cNvSpPr>
        </xdr:nvSpPr>
        <xdr:spPr bwMode="auto">
          <a:xfrm>
            <a:off x="243" y="426"/>
            <a:ext cx="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&gt;</a:t>
            </a:r>
          </a:p>
        </xdr:txBody>
      </xdr:sp>
      <xdr:sp macro="" textlink="">
        <xdr:nvSpPr>
          <xdr:cNvPr id="1317" name="Rectangle 293">
            <a:extLst>
              <a:ext uri="{FF2B5EF4-FFF2-40B4-BE49-F238E27FC236}">
                <a16:creationId xmlns:a16="http://schemas.microsoft.com/office/drawing/2014/main" id="{00000000-0008-0000-0100-000025050000}"/>
              </a:ext>
            </a:extLst>
          </xdr:cNvPr>
          <xdr:cNvSpPr>
            <a:spLocks noChangeArrowheads="1"/>
          </xdr:cNvSpPr>
        </xdr:nvSpPr>
        <xdr:spPr bwMode="auto">
          <a:xfrm>
            <a:off x="251" y="426"/>
            <a:ext cx="12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Temperatuurtraject</a:t>
            </a:r>
          </a:p>
        </xdr:txBody>
      </xdr:sp>
      <xdr:sp macro="" textlink="">
        <xdr:nvSpPr>
          <xdr:cNvPr id="1318" name="Rectangle 294">
            <a:extLst>
              <a:ext uri="{FF2B5EF4-FFF2-40B4-BE49-F238E27FC236}">
                <a16:creationId xmlns:a16="http://schemas.microsoft.com/office/drawing/2014/main" id="{00000000-0008-0000-0100-000026050000}"/>
              </a:ext>
            </a:extLst>
          </xdr:cNvPr>
          <xdr:cNvSpPr>
            <a:spLocks noChangeArrowheads="1"/>
          </xdr:cNvSpPr>
        </xdr:nvSpPr>
        <xdr:spPr bwMode="auto">
          <a:xfrm>
            <a:off x="241" y="441"/>
            <a:ext cx="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a:t>
            </a:r>
          </a:p>
        </xdr:txBody>
      </xdr:sp>
      <xdr:sp macro="" textlink="">
        <xdr:nvSpPr>
          <xdr:cNvPr id="1319" name="Rectangle 295">
            <a:extLst>
              <a:ext uri="{FF2B5EF4-FFF2-40B4-BE49-F238E27FC236}">
                <a16:creationId xmlns:a16="http://schemas.microsoft.com/office/drawing/2014/main" id="{00000000-0008-0000-0100-000027050000}"/>
              </a:ext>
            </a:extLst>
          </xdr:cNvPr>
          <xdr:cNvSpPr>
            <a:spLocks noChangeArrowheads="1"/>
          </xdr:cNvSpPr>
        </xdr:nvSpPr>
        <xdr:spPr bwMode="auto">
          <a:xfrm>
            <a:off x="243" y="441"/>
            <a:ext cx="8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100" b="0" i="0" u="none" strike="noStrike" baseline="0">
                <a:solidFill>
                  <a:srgbClr val="000000"/>
                </a:solidFill>
                <a:latin typeface="MetaNormalLF-Roman"/>
              </a:rPr>
              <a:t>&gt; Vollasturen</a:t>
            </a:r>
          </a:p>
        </xdr:txBody>
      </xdr:sp>
      <xdr:sp macro="" textlink="">
        <xdr:nvSpPr>
          <xdr:cNvPr id="1320" name="Rectangle 296">
            <a:extLst>
              <a:ext uri="{FF2B5EF4-FFF2-40B4-BE49-F238E27FC236}">
                <a16:creationId xmlns:a16="http://schemas.microsoft.com/office/drawing/2014/main" id="{00000000-0008-0000-0100-000028050000}"/>
              </a:ext>
            </a:extLst>
          </xdr:cNvPr>
          <xdr:cNvSpPr>
            <a:spLocks noChangeArrowheads="1"/>
          </xdr:cNvSpPr>
        </xdr:nvSpPr>
        <xdr:spPr bwMode="auto">
          <a:xfrm>
            <a:off x="241" y="460"/>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21" name="Rectangle 297">
            <a:extLst>
              <a:ext uri="{FF2B5EF4-FFF2-40B4-BE49-F238E27FC236}">
                <a16:creationId xmlns:a16="http://schemas.microsoft.com/office/drawing/2014/main" id="{00000000-0008-0000-0100-000029050000}"/>
              </a:ext>
            </a:extLst>
          </xdr:cNvPr>
          <xdr:cNvSpPr>
            <a:spLocks noChangeArrowheads="1"/>
          </xdr:cNvSpPr>
        </xdr:nvSpPr>
        <xdr:spPr bwMode="auto">
          <a:xfrm>
            <a:off x="243" y="460"/>
            <a:ext cx="4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Inflatie</a:t>
            </a:r>
          </a:p>
        </xdr:txBody>
      </xdr:sp>
      <xdr:sp macro="" textlink="">
        <xdr:nvSpPr>
          <xdr:cNvPr id="1322" name="Rectangle 298">
            <a:extLst>
              <a:ext uri="{FF2B5EF4-FFF2-40B4-BE49-F238E27FC236}">
                <a16:creationId xmlns:a16="http://schemas.microsoft.com/office/drawing/2014/main" id="{00000000-0008-0000-0100-00002A050000}"/>
              </a:ext>
            </a:extLst>
          </xdr:cNvPr>
          <xdr:cNvSpPr>
            <a:spLocks noChangeArrowheads="1"/>
          </xdr:cNvSpPr>
        </xdr:nvSpPr>
        <xdr:spPr bwMode="auto">
          <a:xfrm>
            <a:off x="241" y="475"/>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23" name="Rectangle 299">
            <a:extLst>
              <a:ext uri="{FF2B5EF4-FFF2-40B4-BE49-F238E27FC236}">
                <a16:creationId xmlns:a16="http://schemas.microsoft.com/office/drawing/2014/main" id="{00000000-0008-0000-0100-00002B050000}"/>
              </a:ext>
            </a:extLst>
          </xdr:cNvPr>
          <xdr:cNvSpPr>
            <a:spLocks noChangeArrowheads="1"/>
          </xdr:cNvSpPr>
        </xdr:nvSpPr>
        <xdr:spPr bwMode="auto">
          <a:xfrm>
            <a:off x="243" y="475"/>
            <a:ext cx="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a:t>
            </a:r>
          </a:p>
        </xdr:txBody>
      </xdr:sp>
      <xdr:sp macro="" textlink="">
        <xdr:nvSpPr>
          <xdr:cNvPr id="1324" name="Rectangle 300">
            <a:extLst>
              <a:ext uri="{FF2B5EF4-FFF2-40B4-BE49-F238E27FC236}">
                <a16:creationId xmlns:a16="http://schemas.microsoft.com/office/drawing/2014/main" id="{00000000-0008-0000-0100-00002C050000}"/>
              </a:ext>
            </a:extLst>
          </xdr:cNvPr>
          <xdr:cNvSpPr>
            <a:spLocks noChangeArrowheads="1"/>
          </xdr:cNvSpPr>
        </xdr:nvSpPr>
        <xdr:spPr bwMode="auto">
          <a:xfrm>
            <a:off x="251" y="475"/>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Rendementseis</a:t>
            </a:r>
          </a:p>
        </xdr:txBody>
      </xdr:sp>
      <xdr:sp macro="" textlink="">
        <xdr:nvSpPr>
          <xdr:cNvPr id="1325" name="Rectangle 301">
            <a:extLst>
              <a:ext uri="{FF2B5EF4-FFF2-40B4-BE49-F238E27FC236}">
                <a16:creationId xmlns:a16="http://schemas.microsoft.com/office/drawing/2014/main" id="{00000000-0008-0000-0100-00002D050000}"/>
              </a:ext>
            </a:extLst>
          </xdr:cNvPr>
          <xdr:cNvSpPr>
            <a:spLocks noChangeArrowheads="1"/>
          </xdr:cNvSpPr>
        </xdr:nvSpPr>
        <xdr:spPr bwMode="auto">
          <a:xfrm>
            <a:off x="241" y="492"/>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26" name="Rectangle 302">
            <a:extLst>
              <a:ext uri="{FF2B5EF4-FFF2-40B4-BE49-F238E27FC236}">
                <a16:creationId xmlns:a16="http://schemas.microsoft.com/office/drawing/2014/main" id="{00000000-0008-0000-0100-00002E050000}"/>
              </a:ext>
            </a:extLst>
          </xdr:cNvPr>
          <xdr:cNvSpPr>
            <a:spLocks noChangeArrowheads="1"/>
          </xdr:cNvSpPr>
        </xdr:nvSpPr>
        <xdr:spPr bwMode="auto">
          <a:xfrm>
            <a:off x="243" y="492"/>
            <a:ext cx="9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SDE++ subsidie</a:t>
            </a:r>
          </a:p>
        </xdr:txBody>
      </xdr:sp>
      <xdr:sp macro="" textlink="">
        <xdr:nvSpPr>
          <xdr:cNvPr id="1327" name="Rectangle 303">
            <a:extLst>
              <a:ext uri="{FF2B5EF4-FFF2-40B4-BE49-F238E27FC236}">
                <a16:creationId xmlns:a16="http://schemas.microsoft.com/office/drawing/2014/main" id="{00000000-0008-0000-0100-00002F050000}"/>
              </a:ext>
            </a:extLst>
          </xdr:cNvPr>
          <xdr:cNvSpPr>
            <a:spLocks noChangeArrowheads="1"/>
          </xdr:cNvSpPr>
        </xdr:nvSpPr>
        <xdr:spPr bwMode="auto">
          <a:xfrm>
            <a:off x="676" y="232"/>
            <a:ext cx="51" cy="46"/>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8" name="Rectangle 304">
            <a:extLst>
              <a:ext uri="{FF2B5EF4-FFF2-40B4-BE49-F238E27FC236}">
                <a16:creationId xmlns:a16="http://schemas.microsoft.com/office/drawing/2014/main" id="{00000000-0008-0000-0100-000030050000}"/>
              </a:ext>
            </a:extLst>
          </xdr:cNvPr>
          <xdr:cNvSpPr>
            <a:spLocks noChangeArrowheads="1"/>
          </xdr:cNvSpPr>
        </xdr:nvSpPr>
        <xdr:spPr bwMode="auto">
          <a:xfrm>
            <a:off x="676" y="232"/>
            <a:ext cx="51" cy="46"/>
          </a:xfrm>
          <a:prstGeom prst="rect">
            <a:avLst/>
          </a:prstGeom>
          <a:noFill/>
          <a:ln w="9525"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29" name="Line 305">
            <a:extLst>
              <a:ext uri="{FF2B5EF4-FFF2-40B4-BE49-F238E27FC236}">
                <a16:creationId xmlns:a16="http://schemas.microsoft.com/office/drawing/2014/main" id="{00000000-0008-0000-0100-000031050000}"/>
              </a:ext>
            </a:extLst>
          </xdr:cNvPr>
          <xdr:cNvSpPr>
            <a:spLocks noChangeShapeType="1"/>
          </xdr:cNvSpPr>
        </xdr:nvSpPr>
        <xdr:spPr bwMode="auto">
          <a:xfrm flipV="1">
            <a:off x="503" y="355"/>
            <a:ext cx="0" cy="89"/>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30" name="Line 306">
            <a:extLst>
              <a:ext uri="{FF2B5EF4-FFF2-40B4-BE49-F238E27FC236}">
                <a16:creationId xmlns:a16="http://schemas.microsoft.com/office/drawing/2014/main" id="{00000000-0008-0000-0100-000032050000}"/>
              </a:ext>
            </a:extLst>
          </xdr:cNvPr>
          <xdr:cNvSpPr>
            <a:spLocks noChangeShapeType="1"/>
          </xdr:cNvSpPr>
        </xdr:nvSpPr>
        <xdr:spPr bwMode="auto">
          <a:xfrm flipV="1">
            <a:off x="681" y="356"/>
            <a:ext cx="0" cy="91"/>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31" name="Line 307">
            <a:extLst>
              <a:ext uri="{FF2B5EF4-FFF2-40B4-BE49-F238E27FC236}">
                <a16:creationId xmlns:a16="http://schemas.microsoft.com/office/drawing/2014/main" id="{00000000-0008-0000-0100-000033050000}"/>
              </a:ext>
            </a:extLst>
          </xdr:cNvPr>
          <xdr:cNvSpPr>
            <a:spLocks noChangeShapeType="1"/>
          </xdr:cNvSpPr>
        </xdr:nvSpPr>
        <xdr:spPr bwMode="auto">
          <a:xfrm>
            <a:off x="504" y="356"/>
            <a:ext cx="178" cy="0"/>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32" name="Line 308">
            <a:extLst>
              <a:ext uri="{FF2B5EF4-FFF2-40B4-BE49-F238E27FC236}">
                <a16:creationId xmlns:a16="http://schemas.microsoft.com/office/drawing/2014/main" id="{00000000-0008-0000-0100-000034050000}"/>
              </a:ext>
            </a:extLst>
          </xdr:cNvPr>
          <xdr:cNvSpPr>
            <a:spLocks noChangeShapeType="1"/>
          </xdr:cNvSpPr>
        </xdr:nvSpPr>
        <xdr:spPr bwMode="auto">
          <a:xfrm flipH="1">
            <a:off x="598" y="278"/>
            <a:ext cx="2" cy="79"/>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pic>
        <xdr:nvPicPr>
          <xdr:cNvPr id="110" name="Afbeelding 109">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 y="445"/>
            <a:ext cx="101"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1" name="Afbeelding 110">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3" y="445"/>
            <a:ext cx="101"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2" name="Afbeelding 111">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1" y="445"/>
            <a:ext cx="102"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3" name="Afbeelding 112">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0" y="445"/>
            <a:ext cx="103"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4" name="Afbeelding 113">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41" y="179"/>
            <a:ext cx="67" cy="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38" name="Rectangle 314">
            <a:extLst>
              <a:ext uri="{FF2B5EF4-FFF2-40B4-BE49-F238E27FC236}">
                <a16:creationId xmlns:a16="http://schemas.microsoft.com/office/drawing/2014/main" id="{00000000-0008-0000-0100-00003A050000}"/>
              </a:ext>
            </a:extLst>
          </xdr:cNvPr>
          <xdr:cNvSpPr>
            <a:spLocks noChangeArrowheads="1"/>
          </xdr:cNvSpPr>
        </xdr:nvSpPr>
        <xdr:spPr bwMode="auto">
          <a:xfrm>
            <a:off x="941" y="179"/>
            <a:ext cx="67" cy="98"/>
          </a:xfrm>
          <a:prstGeom prst="rect">
            <a:avLst/>
          </a:prstGeom>
          <a:noFill/>
          <a:ln w="9525"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16" name="Afbeelding 115">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0" y="190"/>
            <a:ext cx="1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0" name="Rectangle 316">
            <a:extLst>
              <a:ext uri="{FF2B5EF4-FFF2-40B4-BE49-F238E27FC236}">
                <a16:creationId xmlns:a16="http://schemas.microsoft.com/office/drawing/2014/main" id="{00000000-0008-0000-0100-00003C050000}"/>
              </a:ext>
            </a:extLst>
          </xdr:cNvPr>
          <xdr:cNvSpPr>
            <a:spLocks noChangeArrowheads="1"/>
          </xdr:cNvSpPr>
        </xdr:nvSpPr>
        <xdr:spPr bwMode="auto">
          <a:xfrm>
            <a:off x="950" y="190"/>
            <a:ext cx="17" cy="1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18" name="Afbeelding 117">
            <a:extLst>
              <a:ext uri="{FF2B5EF4-FFF2-40B4-BE49-F238E27FC236}">
                <a16:creationId xmlns:a16="http://schemas.microsoft.com/office/drawing/2014/main" id="{00000000-0008-0000-0100-00007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7" y="190"/>
            <a:ext cx="1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2" name="Rectangle 318">
            <a:extLst>
              <a:ext uri="{FF2B5EF4-FFF2-40B4-BE49-F238E27FC236}">
                <a16:creationId xmlns:a16="http://schemas.microsoft.com/office/drawing/2014/main" id="{00000000-0008-0000-0100-00003E050000}"/>
              </a:ext>
            </a:extLst>
          </xdr:cNvPr>
          <xdr:cNvSpPr>
            <a:spLocks noChangeArrowheads="1"/>
          </xdr:cNvSpPr>
        </xdr:nvSpPr>
        <xdr:spPr bwMode="auto">
          <a:xfrm>
            <a:off x="977" y="190"/>
            <a:ext cx="18" cy="1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20" name="Afbeelding 119">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0" y="216"/>
            <a:ext cx="1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4" name="Rectangle 320">
            <a:extLst>
              <a:ext uri="{FF2B5EF4-FFF2-40B4-BE49-F238E27FC236}">
                <a16:creationId xmlns:a16="http://schemas.microsoft.com/office/drawing/2014/main" id="{00000000-0008-0000-0100-000040050000}"/>
              </a:ext>
            </a:extLst>
          </xdr:cNvPr>
          <xdr:cNvSpPr>
            <a:spLocks noChangeArrowheads="1"/>
          </xdr:cNvSpPr>
        </xdr:nvSpPr>
        <xdr:spPr bwMode="auto">
          <a:xfrm>
            <a:off x="950" y="216"/>
            <a:ext cx="17" cy="18"/>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22" name="Afbeelding 121">
            <a:extLst>
              <a:ext uri="{FF2B5EF4-FFF2-40B4-BE49-F238E27FC236}">
                <a16:creationId xmlns:a16="http://schemas.microsoft.com/office/drawing/2014/main" id="{00000000-0008-0000-0100-00007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77" y="216"/>
            <a:ext cx="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6" name="Rectangle 322">
            <a:extLst>
              <a:ext uri="{FF2B5EF4-FFF2-40B4-BE49-F238E27FC236}">
                <a16:creationId xmlns:a16="http://schemas.microsoft.com/office/drawing/2014/main" id="{00000000-0008-0000-0100-000042050000}"/>
              </a:ext>
            </a:extLst>
          </xdr:cNvPr>
          <xdr:cNvSpPr>
            <a:spLocks noChangeArrowheads="1"/>
          </xdr:cNvSpPr>
        </xdr:nvSpPr>
        <xdr:spPr bwMode="auto">
          <a:xfrm>
            <a:off x="977" y="216"/>
            <a:ext cx="18" cy="18"/>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24" name="Afbeelding 123">
            <a:extLst>
              <a:ext uri="{FF2B5EF4-FFF2-40B4-BE49-F238E27FC236}">
                <a16:creationId xmlns:a16="http://schemas.microsoft.com/office/drawing/2014/main" id="{00000000-0008-0000-0100-00007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55" y="246"/>
            <a:ext cx="16" cy="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8" name="Rectangle 324">
            <a:extLst>
              <a:ext uri="{FF2B5EF4-FFF2-40B4-BE49-F238E27FC236}">
                <a16:creationId xmlns:a16="http://schemas.microsoft.com/office/drawing/2014/main" id="{00000000-0008-0000-0100-000044050000}"/>
              </a:ext>
            </a:extLst>
          </xdr:cNvPr>
          <xdr:cNvSpPr>
            <a:spLocks noChangeArrowheads="1"/>
          </xdr:cNvSpPr>
        </xdr:nvSpPr>
        <xdr:spPr bwMode="auto">
          <a:xfrm>
            <a:off x="955" y="246"/>
            <a:ext cx="16" cy="2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26" name="Afbeelding 125">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4" y="246"/>
            <a:ext cx="15" cy="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50" name="Rectangle 326">
            <a:extLst>
              <a:ext uri="{FF2B5EF4-FFF2-40B4-BE49-F238E27FC236}">
                <a16:creationId xmlns:a16="http://schemas.microsoft.com/office/drawing/2014/main" id="{00000000-0008-0000-0100-000046050000}"/>
              </a:ext>
            </a:extLst>
          </xdr:cNvPr>
          <xdr:cNvSpPr>
            <a:spLocks noChangeArrowheads="1"/>
          </xdr:cNvSpPr>
        </xdr:nvSpPr>
        <xdr:spPr bwMode="auto">
          <a:xfrm>
            <a:off x="974" y="246"/>
            <a:ext cx="15" cy="2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28" name="Afbeelding 127">
            <a:extLst>
              <a:ext uri="{FF2B5EF4-FFF2-40B4-BE49-F238E27FC236}">
                <a16:creationId xmlns:a16="http://schemas.microsoft.com/office/drawing/2014/main" id="{00000000-0008-0000-0100-00008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27" y="179"/>
            <a:ext cx="68" cy="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52" name="Rectangle 328">
            <a:extLst>
              <a:ext uri="{FF2B5EF4-FFF2-40B4-BE49-F238E27FC236}">
                <a16:creationId xmlns:a16="http://schemas.microsoft.com/office/drawing/2014/main" id="{00000000-0008-0000-0100-000048050000}"/>
              </a:ext>
            </a:extLst>
          </xdr:cNvPr>
          <xdr:cNvSpPr>
            <a:spLocks noChangeArrowheads="1"/>
          </xdr:cNvSpPr>
        </xdr:nvSpPr>
        <xdr:spPr bwMode="auto">
          <a:xfrm>
            <a:off x="1027" y="179"/>
            <a:ext cx="68" cy="98"/>
          </a:xfrm>
          <a:prstGeom prst="rect">
            <a:avLst/>
          </a:prstGeom>
          <a:noFill/>
          <a:ln w="9525"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30" name="Afbeelding 129">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36" y="190"/>
            <a:ext cx="1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54" name="Rectangle 330">
            <a:extLst>
              <a:ext uri="{FF2B5EF4-FFF2-40B4-BE49-F238E27FC236}">
                <a16:creationId xmlns:a16="http://schemas.microsoft.com/office/drawing/2014/main" id="{00000000-0008-0000-0100-00004A050000}"/>
              </a:ext>
            </a:extLst>
          </xdr:cNvPr>
          <xdr:cNvSpPr>
            <a:spLocks noChangeArrowheads="1"/>
          </xdr:cNvSpPr>
        </xdr:nvSpPr>
        <xdr:spPr bwMode="auto">
          <a:xfrm>
            <a:off x="1036" y="190"/>
            <a:ext cx="17" cy="1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32" name="Afbeelding 131">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64" y="190"/>
            <a:ext cx="1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56" name="Rectangle 332">
            <a:extLst>
              <a:ext uri="{FF2B5EF4-FFF2-40B4-BE49-F238E27FC236}">
                <a16:creationId xmlns:a16="http://schemas.microsoft.com/office/drawing/2014/main" id="{00000000-0008-0000-0100-00004C050000}"/>
              </a:ext>
            </a:extLst>
          </xdr:cNvPr>
          <xdr:cNvSpPr>
            <a:spLocks noChangeArrowheads="1"/>
          </xdr:cNvSpPr>
        </xdr:nvSpPr>
        <xdr:spPr bwMode="auto">
          <a:xfrm>
            <a:off x="1063" y="190"/>
            <a:ext cx="18" cy="1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34" name="Afbeelding 133">
            <a:extLst>
              <a:ext uri="{FF2B5EF4-FFF2-40B4-BE49-F238E27FC236}">
                <a16:creationId xmlns:a16="http://schemas.microsoft.com/office/drawing/2014/main" id="{00000000-0008-0000-0100-00008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36" y="216"/>
            <a:ext cx="1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58" name="Rectangle 334">
            <a:extLst>
              <a:ext uri="{FF2B5EF4-FFF2-40B4-BE49-F238E27FC236}">
                <a16:creationId xmlns:a16="http://schemas.microsoft.com/office/drawing/2014/main" id="{00000000-0008-0000-0100-00004E050000}"/>
              </a:ext>
            </a:extLst>
          </xdr:cNvPr>
          <xdr:cNvSpPr>
            <a:spLocks noChangeArrowheads="1"/>
          </xdr:cNvSpPr>
        </xdr:nvSpPr>
        <xdr:spPr bwMode="auto">
          <a:xfrm>
            <a:off x="1036" y="216"/>
            <a:ext cx="17" cy="18"/>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36" name="Afbeelding 135">
            <a:extLst>
              <a:ext uri="{FF2B5EF4-FFF2-40B4-BE49-F238E27FC236}">
                <a16:creationId xmlns:a16="http://schemas.microsoft.com/office/drawing/2014/main" id="{00000000-0008-0000-0100-00008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64" y="216"/>
            <a:ext cx="1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60" name="Rectangle 336">
            <a:extLst>
              <a:ext uri="{FF2B5EF4-FFF2-40B4-BE49-F238E27FC236}">
                <a16:creationId xmlns:a16="http://schemas.microsoft.com/office/drawing/2014/main" id="{00000000-0008-0000-0100-000050050000}"/>
              </a:ext>
            </a:extLst>
          </xdr:cNvPr>
          <xdr:cNvSpPr>
            <a:spLocks noChangeArrowheads="1"/>
          </xdr:cNvSpPr>
        </xdr:nvSpPr>
        <xdr:spPr bwMode="auto">
          <a:xfrm>
            <a:off x="1063" y="216"/>
            <a:ext cx="18" cy="18"/>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38" name="Afbeelding 137">
            <a:extLst>
              <a:ext uri="{FF2B5EF4-FFF2-40B4-BE49-F238E27FC236}">
                <a16:creationId xmlns:a16="http://schemas.microsoft.com/office/drawing/2014/main" id="{00000000-0008-0000-0100-00008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41" y="246"/>
            <a:ext cx="16" cy="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62" name="Rectangle 338">
            <a:extLst>
              <a:ext uri="{FF2B5EF4-FFF2-40B4-BE49-F238E27FC236}">
                <a16:creationId xmlns:a16="http://schemas.microsoft.com/office/drawing/2014/main" id="{00000000-0008-0000-0100-000052050000}"/>
              </a:ext>
            </a:extLst>
          </xdr:cNvPr>
          <xdr:cNvSpPr>
            <a:spLocks noChangeArrowheads="1"/>
          </xdr:cNvSpPr>
        </xdr:nvSpPr>
        <xdr:spPr bwMode="auto">
          <a:xfrm>
            <a:off x="1041" y="246"/>
            <a:ext cx="16" cy="2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pic>
        <xdr:nvPicPr>
          <xdr:cNvPr id="140" name="Afbeelding 139">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60" y="246"/>
            <a:ext cx="15" cy="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64" name="Rectangle 340">
            <a:extLst>
              <a:ext uri="{FF2B5EF4-FFF2-40B4-BE49-F238E27FC236}">
                <a16:creationId xmlns:a16="http://schemas.microsoft.com/office/drawing/2014/main" id="{00000000-0008-0000-0100-000054050000}"/>
              </a:ext>
            </a:extLst>
          </xdr:cNvPr>
          <xdr:cNvSpPr>
            <a:spLocks noChangeArrowheads="1"/>
          </xdr:cNvSpPr>
        </xdr:nvSpPr>
        <xdr:spPr bwMode="auto">
          <a:xfrm>
            <a:off x="1060" y="246"/>
            <a:ext cx="15" cy="27"/>
          </a:xfrm>
          <a:prstGeom prst="rect">
            <a:avLst/>
          </a:prstGeom>
          <a:noFill/>
          <a:ln w="9525" cap="flat">
            <a:solidFill>
              <a:srgbClr val="7F7F7F"/>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365" name="Line 341">
            <a:extLst>
              <a:ext uri="{FF2B5EF4-FFF2-40B4-BE49-F238E27FC236}">
                <a16:creationId xmlns:a16="http://schemas.microsoft.com/office/drawing/2014/main" id="{00000000-0008-0000-0100-000055050000}"/>
              </a:ext>
            </a:extLst>
          </xdr:cNvPr>
          <xdr:cNvSpPr>
            <a:spLocks noChangeShapeType="1"/>
          </xdr:cNvSpPr>
        </xdr:nvSpPr>
        <xdr:spPr bwMode="auto">
          <a:xfrm>
            <a:off x="389" y="300"/>
            <a:ext cx="146" cy="0"/>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66" name="Line 342">
            <a:extLst>
              <a:ext uri="{FF2B5EF4-FFF2-40B4-BE49-F238E27FC236}">
                <a16:creationId xmlns:a16="http://schemas.microsoft.com/office/drawing/2014/main" id="{00000000-0008-0000-0100-000056050000}"/>
              </a:ext>
            </a:extLst>
          </xdr:cNvPr>
          <xdr:cNvSpPr>
            <a:spLocks noChangeShapeType="1"/>
          </xdr:cNvSpPr>
        </xdr:nvSpPr>
        <xdr:spPr bwMode="auto">
          <a:xfrm>
            <a:off x="661" y="257"/>
            <a:ext cx="0" cy="44"/>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67" name="Line 343">
            <a:extLst>
              <a:ext uri="{FF2B5EF4-FFF2-40B4-BE49-F238E27FC236}">
                <a16:creationId xmlns:a16="http://schemas.microsoft.com/office/drawing/2014/main" id="{00000000-0008-0000-0100-000057050000}"/>
              </a:ext>
            </a:extLst>
          </xdr:cNvPr>
          <xdr:cNvSpPr>
            <a:spLocks noChangeShapeType="1"/>
          </xdr:cNvSpPr>
        </xdr:nvSpPr>
        <xdr:spPr bwMode="auto">
          <a:xfrm>
            <a:off x="639" y="256"/>
            <a:ext cx="23" cy="0"/>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68" name="Line 344">
            <a:extLst>
              <a:ext uri="{FF2B5EF4-FFF2-40B4-BE49-F238E27FC236}">
                <a16:creationId xmlns:a16="http://schemas.microsoft.com/office/drawing/2014/main" id="{00000000-0008-0000-0100-000058050000}"/>
              </a:ext>
            </a:extLst>
          </xdr:cNvPr>
          <xdr:cNvSpPr>
            <a:spLocks noChangeShapeType="1"/>
          </xdr:cNvSpPr>
        </xdr:nvSpPr>
        <xdr:spPr bwMode="auto">
          <a:xfrm>
            <a:off x="660" y="300"/>
            <a:ext cx="229" cy="0"/>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69" name="Line 345">
            <a:extLst>
              <a:ext uri="{FF2B5EF4-FFF2-40B4-BE49-F238E27FC236}">
                <a16:creationId xmlns:a16="http://schemas.microsoft.com/office/drawing/2014/main" id="{00000000-0008-0000-0100-000059050000}"/>
              </a:ext>
            </a:extLst>
          </xdr:cNvPr>
          <xdr:cNvSpPr>
            <a:spLocks noChangeShapeType="1"/>
          </xdr:cNvSpPr>
        </xdr:nvSpPr>
        <xdr:spPr bwMode="auto">
          <a:xfrm>
            <a:off x="751" y="257"/>
            <a:ext cx="0" cy="44"/>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70" name="Line 346">
            <a:extLst>
              <a:ext uri="{FF2B5EF4-FFF2-40B4-BE49-F238E27FC236}">
                <a16:creationId xmlns:a16="http://schemas.microsoft.com/office/drawing/2014/main" id="{00000000-0008-0000-0100-00005A050000}"/>
              </a:ext>
            </a:extLst>
          </xdr:cNvPr>
          <xdr:cNvSpPr>
            <a:spLocks noChangeShapeType="1"/>
          </xdr:cNvSpPr>
        </xdr:nvSpPr>
        <xdr:spPr bwMode="auto">
          <a:xfrm>
            <a:off x="728" y="258"/>
            <a:ext cx="23" cy="0"/>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71" name="Freeform 347">
            <a:extLst>
              <a:ext uri="{FF2B5EF4-FFF2-40B4-BE49-F238E27FC236}">
                <a16:creationId xmlns:a16="http://schemas.microsoft.com/office/drawing/2014/main" id="{00000000-0008-0000-0100-00005B050000}"/>
              </a:ext>
            </a:extLst>
          </xdr:cNvPr>
          <xdr:cNvSpPr>
            <a:spLocks noEditPoints="1"/>
          </xdr:cNvSpPr>
        </xdr:nvSpPr>
        <xdr:spPr bwMode="auto">
          <a:xfrm>
            <a:off x="970" y="278"/>
            <a:ext cx="3" cy="23"/>
          </a:xfrm>
          <a:custGeom>
            <a:avLst/>
            <a:gdLst>
              <a:gd name="T0" fmla="*/ 3 w 3"/>
              <a:gd name="T1" fmla="*/ 0 h 23"/>
              <a:gd name="T2" fmla="*/ 3 w 3"/>
              <a:gd name="T3" fmla="*/ 10 h 23"/>
              <a:gd name="T4" fmla="*/ 0 w 3"/>
              <a:gd name="T5" fmla="*/ 10 h 23"/>
              <a:gd name="T6" fmla="*/ 0 w 3"/>
              <a:gd name="T7" fmla="*/ 0 h 23"/>
              <a:gd name="T8" fmla="*/ 3 w 3"/>
              <a:gd name="T9" fmla="*/ 0 h 23"/>
              <a:gd name="T10" fmla="*/ 3 w 3"/>
              <a:gd name="T11" fmla="*/ 17 h 23"/>
              <a:gd name="T12" fmla="*/ 3 w 3"/>
              <a:gd name="T13" fmla="*/ 23 h 23"/>
              <a:gd name="T14" fmla="*/ 0 w 3"/>
              <a:gd name="T15" fmla="*/ 23 h 23"/>
              <a:gd name="T16" fmla="*/ 0 w 3"/>
              <a:gd name="T17" fmla="*/ 17 h 23"/>
              <a:gd name="T18" fmla="*/ 3 w 3"/>
              <a:gd name="T19" fmla="*/ 17 h 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 h="23">
                <a:moveTo>
                  <a:pt x="3" y="0"/>
                </a:moveTo>
                <a:lnTo>
                  <a:pt x="3" y="10"/>
                </a:lnTo>
                <a:lnTo>
                  <a:pt x="0" y="10"/>
                </a:lnTo>
                <a:lnTo>
                  <a:pt x="0" y="0"/>
                </a:lnTo>
                <a:lnTo>
                  <a:pt x="3" y="0"/>
                </a:lnTo>
                <a:close/>
                <a:moveTo>
                  <a:pt x="3" y="17"/>
                </a:moveTo>
                <a:lnTo>
                  <a:pt x="3" y="23"/>
                </a:lnTo>
                <a:lnTo>
                  <a:pt x="0" y="23"/>
                </a:lnTo>
                <a:lnTo>
                  <a:pt x="0" y="17"/>
                </a:lnTo>
                <a:lnTo>
                  <a:pt x="3" y="17"/>
                </a:lnTo>
                <a:close/>
              </a:path>
            </a:pathLst>
          </a:custGeom>
          <a:solidFill>
            <a:srgbClr val="000000"/>
          </a:solidFill>
          <a:ln w="0" cap="flat">
            <a:solidFill>
              <a:srgbClr val="000000"/>
            </a:solidFill>
            <a:prstDash val="solid"/>
            <a:round/>
            <a:headEnd/>
            <a:tailEnd/>
          </a:ln>
        </xdr:spPr>
      </xdr:sp>
      <xdr:sp macro="" textlink="">
        <xdr:nvSpPr>
          <xdr:cNvPr id="1372" name="Freeform 348">
            <a:extLst>
              <a:ext uri="{FF2B5EF4-FFF2-40B4-BE49-F238E27FC236}">
                <a16:creationId xmlns:a16="http://schemas.microsoft.com/office/drawing/2014/main" id="{00000000-0008-0000-0100-00005C050000}"/>
              </a:ext>
            </a:extLst>
          </xdr:cNvPr>
          <xdr:cNvSpPr>
            <a:spLocks noEditPoints="1"/>
          </xdr:cNvSpPr>
        </xdr:nvSpPr>
        <xdr:spPr bwMode="auto">
          <a:xfrm>
            <a:off x="1056" y="278"/>
            <a:ext cx="3" cy="23"/>
          </a:xfrm>
          <a:custGeom>
            <a:avLst/>
            <a:gdLst>
              <a:gd name="T0" fmla="*/ 3 w 3"/>
              <a:gd name="T1" fmla="*/ 0 h 23"/>
              <a:gd name="T2" fmla="*/ 3 w 3"/>
              <a:gd name="T3" fmla="*/ 10 h 23"/>
              <a:gd name="T4" fmla="*/ 0 w 3"/>
              <a:gd name="T5" fmla="*/ 10 h 23"/>
              <a:gd name="T6" fmla="*/ 0 w 3"/>
              <a:gd name="T7" fmla="*/ 0 h 23"/>
              <a:gd name="T8" fmla="*/ 3 w 3"/>
              <a:gd name="T9" fmla="*/ 0 h 23"/>
              <a:gd name="T10" fmla="*/ 3 w 3"/>
              <a:gd name="T11" fmla="*/ 17 h 23"/>
              <a:gd name="T12" fmla="*/ 3 w 3"/>
              <a:gd name="T13" fmla="*/ 23 h 23"/>
              <a:gd name="T14" fmla="*/ 0 w 3"/>
              <a:gd name="T15" fmla="*/ 23 h 23"/>
              <a:gd name="T16" fmla="*/ 0 w 3"/>
              <a:gd name="T17" fmla="*/ 17 h 23"/>
              <a:gd name="T18" fmla="*/ 3 w 3"/>
              <a:gd name="T19" fmla="*/ 17 h 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 h="23">
                <a:moveTo>
                  <a:pt x="3" y="0"/>
                </a:moveTo>
                <a:lnTo>
                  <a:pt x="3" y="10"/>
                </a:lnTo>
                <a:lnTo>
                  <a:pt x="0" y="10"/>
                </a:lnTo>
                <a:lnTo>
                  <a:pt x="0" y="0"/>
                </a:lnTo>
                <a:lnTo>
                  <a:pt x="3" y="0"/>
                </a:lnTo>
                <a:close/>
                <a:moveTo>
                  <a:pt x="3" y="17"/>
                </a:moveTo>
                <a:lnTo>
                  <a:pt x="3" y="23"/>
                </a:lnTo>
                <a:lnTo>
                  <a:pt x="0" y="23"/>
                </a:lnTo>
                <a:lnTo>
                  <a:pt x="0" y="17"/>
                </a:lnTo>
                <a:lnTo>
                  <a:pt x="3" y="17"/>
                </a:lnTo>
                <a:close/>
              </a:path>
            </a:pathLst>
          </a:custGeom>
          <a:solidFill>
            <a:srgbClr val="000000"/>
          </a:solidFill>
          <a:ln w="0" cap="flat">
            <a:solidFill>
              <a:srgbClr val="000000"/>
            </a:solidFill>
            <a:prstDash val="solid"/>
            <a:round/>
            <a:headEnd/>
            <a:tailEnd/>
          </a:ln>
        </xdr:spPr>
      </xdr:sp>
      <xdr:sp macro="" textlink="">
        <xdr:nvSpPr>
          <xdr:cNvPr id="1373" name="Rectangle 349">
            <a:extLst>
              <a:ext uri="{FF2B5EF4-FFF2-40B4-BE49-F238E27FC236}">
                <a16:creationId xmlns:a16="http://schemas.microsoft.com/office/drawing/2014/main" id="{00000000-0008-0000-0100-00005D050000}"/>
              </a:ext>
            </a:extLst>
          </xdr:cNvPr>
          <xdr:cNvSpPr>
            <a:spLocks noChangeArrowheads="1"/>
          </xdr:cNvSpPr>
        </xdr:nvSpPr>
        <xdr:spPr bwMode="auto">
          <a:xfrm>
            <a:off x="524" y="160"/>
            <a:ext cx="1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WP</a:t>
            </a:r>
          </a:p>
        </xdr:txBody>
      </xdr:sp>
      <xdr:sp macro="" textlink="">
        <xdr:nvSpPr>
          <xdr:cNvPr id="1374" name="Rectangle 350">
            <a:extLst>
              <a:ext uri="{FF2B5EF4-FFF2-40B4-BE49-F238E27FC236}">
                <a16:creationId xmlns:a16="http://schemas.microsoft.com/office/drawing/2014/main" id="{00000000-0008-0000-0100-00005E050000}"/>
              </a:ext>
            </a:extLst>
          </xdr:cNvPr>
          <xdr:cNvSpPr>
            <a:spLocks noChangeArrowheads="1"/>
          </xdr:cNvSpPr>
        </xdr:nvSpPr>
        <xdr:spPr bwMode="auto">
          <a:xfrm>
            <a:off x="562" y="166"/>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a:t>
            </a:r>
          </a:p>
        </xdr:txBody>
      </xdr:sp>
      <xdr:sp macro="" textlink="">
        <xdr:nvSpPr>
          <xdr:cNvPr id="1375" name="Rectangle 351">
            <a:extLst>
              <a:ext uri="{FF2B5EF4-FFF2-40B4-BE49-F238E27FC236}">
                <a16:creationId xmlns:a16="http://schemas.microsoft.com/office/drawing/2014/main" id="{00000000-0008-0000-0100-00005F050000}"/>
              </a:ext>
            </a:extLst>
          </xdr:cNvPr>
          <xdr:cNvSpPr>
            <a:spLocks noChangeArrowheads="1"/>
          </xdr:cNvSpPr>
        </xdr:nvSpPr>
        <xdr:spPr bwMode="auto">
          <a:xfrm>
            <a:off x="547" y="160"/>
            <a:ext cx="4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centrale</a:t>
            </a:r>
          </a:p>
        </xdr:txBody>
      </xdr:sp>
      <xdr:sp macro="" textlink="">
        <xdr:nvSpPr>
          <xdr:cNvPr id="1376" name="Rectangle 352">
            <a:extLst>
              <a:ext uri="{FF2B5EF4-FFF2-40B4-BE49-F238E27FC236}">
                <a16:creationId xmlns:a16="http://schemas.microsoft.com/office/drawing/2014/main" id="{00000000-0008-0000-0100-000060050000}"/>
              </a:ext>
            </a:extLst>
          </xdr:cNvPr>
          <xdr:cNvSpPr>
            <a:spLocks noChangeArrowheads="1"/>
          </xdr:cNvSpPr>
        </xdr:nvSpPr>
        <xdr:spPr bwMode="auto">
          <a:xfrm>
            <a:off x="544" y="182"/>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77" name="Rectangle 353">
            <a:extLst>
              <a:ext uri="{FF2B5EF4-FFF2-40B4-BE49-F238E27FC236}">
                <a16:creationId xmlns:a16="http://schemas.microsoft.com/office/drawing/2014/main" id="{00000000-0008-0000-0100-000061050000}"/>
              </a:ext>
            </a:extLst>
          </xdr:cNvPr>
          <xdr:cNvSpPr>
            <a:spLocks noChangeArrowheads="1"/>
          </xdr:cNvSpPr>
        </xdr:nvSpPr>
        <xdr:spPr bwMode="auto">
          <a:xfrm>
            <a:off x="528" y="176"/>
            <a:ext cx="87"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Schaalgrootte</a:t>
            </a:r>
          </a:p>
        </xdr:txBody>
      </xdr:sp>
      <xdr:sp macro="" textlink="">
        <xdr:nvSpPr>
          <xdr:cNvPr id="1378" name="Rectangle 354">
            <a:extLst>
              <a:ext uri="{FF2B5EF4-FFF2-40B4-BE49-F238E27FC236}">
                <a16:creationId xmlns:a16="http://schemas.microsoft.com/office/drawing/2014/main" id="{00000000-0008-0000-0100-000062050000}"/>
              </a:ext>
            </a:extLst>
          </xdr:cNvPr>
          <xdr:cNvSpPr>
            <a:spLocks noChangeArrowheads="1"/>
          </xdr:cNvSpPr>
        </xdr:nvSpPr>
        <xdr:spPr bwMode="auto">
          <a:xfrm>
            <a:off x="544" y="198"/>
            <a:ext cx="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79" name="Rectangle 355">
            <a:extLst>
              <a:ext uri="{FF2B5EF4-FFF2-40B4-BE49-F238E27FC236}">
                <a16:creationId xmlns:a16="http://schemas.microsoft.com/office/drawing/2014/main" id="{00000000-0008-0000-0100-000063050000}"/>
              </a:ext>
            </a:extLst>
          </xdr:cNvPr>
          <xdr:cNvSpPr>
            <a:spLocks noChangeArrowheads="1"/>
          </xdr:cNvSpPr>
        </xdr:nvSpPr>
        <xdr:spPr bwMode="auto">
          <a:xfrm>
            <a:off x="528" y="192"/>
            <a:ext cx="12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Stedelijk of landelijk</a:t>
            </a:r>
          </a:p>
        </xdr:txBody>
      </xdr:sp>
      <xdr:sp macro="" textlink="">
        <xdr:nvSpPr>
          <xdr:cNvPr id="1380" name="Rectangle 356">
            <a:extLst>
              <a:ext uri="{FF2B5EF4-FFF2-40B4-BE49-F238E27FC236}">
                <a16:creationId xmlns:a16="http://schemas.microsoft.com/office/drawing/2014/main" id="{00000000-0008-0000-0100-000064050000}"/>
              </a:ext>
            </a:extLst>
          </xdr:cNvPr>
          <xdr:cNvSpPr>
            <a:spLocks noChangeArrowheads="1"/>
          </xdr:cNvSpPr>
        </xdr:nvSpPr>
        <xdr:spPr bwMode="auto">
          <a:xfrm>
            <a:off x="695" y="182"/>
            <a:ext cx="11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Pieklastvoorziening</a:t>
            </a:r>
          </a:p>
        </xdr:txBody>
      </xdr:sp>
      <xdr:sp macro="" textlink="">
        <xdr:nvSpPr>
          <xdr:cNvPr id="1381" name="Rectangle 357">
            <a:extLst>
              <a:ext uri="{FF2B5EF4-FFF2-40B4-BE49-F238E27FC236}">
                <a16:creationId xmlns:a16="http://schemas.microsoft.com/office/drawing/2014/main" id="{00000000-0008-0000-0100-000065050000}"/>
              </a:ext>
            </a:extLst>
          </xdr:cNvPr>
          <xdr:cNvSpPr>
            <a:spLocks noChangeArrowheads="1"/>
          </xdr:cNvSpPr>
        </xdr:nvSpPr>
        <xdr:spPr bwMode="auto">
          <a:xfrm>
            <a:off x="695" y="198"/>
            <a:ext cx="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nl-NL" sz="1000" b="0" i="0" u="none" strike="noStrike" baseline="0">
              <a:solidFill>
                <a:srgbClr val="000000"/>
              </a:solidFill>
              <a:latin typeface="MetaNormalLF-Roman"/>
            </a:endParaRPr>
          </a:p>
        </xdr:txBody>
      </xdr:sp>
      <xdr:sp macro="" textlink="">
        <xdr:nvSpPr>
          <xdr:cNvPr id="1384" name="Rectangle 360">
            <a:extLst>
              <a:ext uri="{FF2B5EF4-FFF2-40B4-BE49-F238E27FC236}">
                <a16:creationId xmlns:a16="http://schemas.microsoft.com/office/drawing/2014/main" id="{00000000-0008-0000-0100-000068050000}"/>
              </a:ext>
            </a:extLst>
          </xdr:cNvPr>
          <xdr:cNvSpPr>
            <a:spLocks noChangeArrowheads="1"/>
          </xdr:cNvSpPr>
        </xdr:nvSpPr>
        <xdr:spPr bwMode="auto">
          <a:xfrm>
            <a:off x="695" y="199"/>
            <a:ext cx="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85" name="Rectangle 361">
            <a:extLst>
              <a:ext uri="{FF2B5EF4-FFF2-40B4-BE49-F238E27FC236}">
                <a16:creationId xmlns:a16="http://schemas.microsoft.com/office/drawing/2014/main" id="{00000000-0008-0000-0100-000069050000}"/>
              </a:ext>
            </a:extLst>
          </xdr:cNvPr>
          <xdr:cNvSpPr>
            <a:spLocks noChangeArrowheads="1"/>
          </xdr:cNvSpPr>
        </xdr:nvSpPr>
        <xdr:spPr bwMode="auto">
          <a:xfrm>
            <a:off x="700" y="200"/>
            <a:ext cx="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Aandeel</a:t>
            </a:r>
          </a:p>
        </xdr:txBody>
      </xdr:sp>
      <xdr:sp macro="" textlink="">
        <xdr:nvSpPr>
          <xdr:cNvPr id="1386" name="Rectangle 362">
            <a:extLst>
              <a:ext uri="{FF2B5EF4-FFF2-40B4-BE49-F238E27FC236}">
                <a16:creationId xmlns:a16="http://schemas.microsoft.com/office/drawing/2014/main" id="{00000000-0008-0000-0100-00006A050000}"/>
              </a:ext>
            </a:extLst>
          </xdr:cNvPr>
          <xdr:cNvSpPr>
            <a:spLocks noChangeArrowheads="1"/>
          </xdr:cNvSpPr>
        </xdr:nvSpPr>
        <xdr:spPr bwMode="auto">
          <a:xfrm>
            <a:off x="431" y="226"/>
            <a:ext cx="7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1" i="0" u="none" strike="noStrike" baseline="0">
                <a:solidFill>
                  <a:srgbClr val="000000"/>
                </a:solidFill>
                <a:latin typeface="MetaNormalLF-Roman"/>
              </a:rPr>
              <a:t>Leidingtracé</a:t>
            </a:r>
          </a:p>
        </xdr:txBody>
      </xdr:sp>
      <xdr:sp macro="" textlink="">
        <xdr:nvSpPr>
          <xdr:cNvPr id="1387" name="Rectangle 363">
            <a:extLst>
              <a:ext uri="{FF2B5EF4-FFF2-40B4-BE49-F238E27FC236}">
                <a16:creationId xmlns:a16="http://schemas.microsoft.com/office/drawing/2014/main" id="{00000000-0008-0000-0100-00006B050000}"/>
              </a:ext>
            </a:extLst>
          </xdr:cNvPr>
          <xdr:cNvSpPr>
            <a:spLocks noChangeArrowheads="1"/>
          </xdr:cNvSpPr>
        </xdr:nvSpPr>
        <xdr:spPr bwMode="auto">
          <a:xfrm>
            <a:off x="431" y="241"/>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88" name="Rectangle 364">
            <a:extLst>
              <a:ext uri="{FF2B5EF4-FFF2-40B4-BE49-F238E27FC236}">
                <a16:creationId xmlns:a16="http://schemas.microsoft.com/office/drawing/2014/main" id="{00000000-0008-0000-0100-00006C050000}"/>
              </a:ext>
            </a:extLst>
          </xdr:cNvPr>
          <xdr:cNvSpPr>
            <a:spLocks noChangeArrowheads="1"/>
          </xdr:cNvSpPr>
        </xdr:nvSpPr>
        <xdr:spPr bwMode="auto">
          <a:xfrm>
            <a:off x="434" y="241"/>
            <a:ext cx="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Lengte</a:t>
            </a:r>
          </a:p>
        </xdr:txBody>
      </xdr:sp>
      <xdr:sp macro="" textlink="">
        <xdr:nvSpPr>
          <xdr:cNvPr id="1389" name="Rectangle 365">
            <a:extLst>
              <a:ext uri="{FF2B5EF4-FFF2-40B4-BE49-F238E27FC236}">
                <a16:creationId xmlns:a16="http://schemas.microsoft.com/office/drawing/2014/main" id="{00000000-0008-0000-0100-00006D050000}"/>
              </a:ext>
            </a:extLst>
          </xdr:cNvPr>
          <xdr:cNvSpPr>
            <a:spLocks noChangeArrowheads="1"/>
          </xdr:cNvSpPr>
        </xdr:nvSpPr>
        <xdr:spPr bwMode="auto">
          <a:xfrm>
            <a:off x="431" y="258"/>
            <a:ext cx="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a:t>
            </a:r>
          </a:p>
        </xdr:txBody>
      </xdr:sp>
      <xdr:sp macro="" textlink="">
        <xdr:nvSpPr>
          <xdr:cNvPr id="1390" name="Rectangle 366">
            <a:extLst>
              <a:ext uri="{FF2B5EF4-FFF2-40B4-BE49-F238E27FC236}">
                <a16:creationId xmlns:a16="http://schemas.microsoft.com/office/drawing/2014/main" id="{00000000-0008-0000-0100-00006E050000}"/>
              </a:ext>
            </a:extLst>
          </xdr:cNvPr>
          <xdr:cNvSpPr>
            <a:spLocks noChangeArrowheads="1"/>
          </xdr:cNvSpPr>
        </xdr:nvSpPr>
        <xdr:spPr bwMode="auto">
          <a:xfrm>
            <a:off x="434" y="258"/>
            <a:ext cx="1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&gt; I</a:t>
            </a:r>
          </a:p>
        </xdr:txBody>
      </xdr:sp>
      <xdr:sp macro="" textlink="">
        <xdr:nvSpPr>
          <xdr:cNvPr id="1391" name="Rectangle 367">
            <a:extLst>
              <a:ext uri="{FF2B5EF4-FFF2-40B4-BE49-F238E27FC236}">
                <a16:creationId xmlns:a16="http://schemas.microsoft.com/office/drawing/2014/main" id="{00000000-0008-0000-0100-00006F050000}"/>
              </a:ext>
            </a:extLst>
          </xdr:cNvPr>
          <xdr:cNvSpPr>
            <a:spLocks noChangeArrowheads="1"/>
          </xdr:cNvSpPr>
        </xdr:nvSpPr>
        <xdr:spPr bwMode="auto">
          <a:xfrm>
            <a:off x="445" y="258"/>
            <a:ext cx="7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nl-NL" sz="1000" b="0" i="0" u="none" strike="noStrike" baseline="0">
                <a:solidFill>
                  <a:srgbClr val="000000"/>
                </a:solidFill>
                <a:latin typeface="MetaNormalLF-Roman"/>
              </a:rPr>
              <a:t>nfrastructuur</a:t>
            </a:r>
          </a:p>
        </xdr:txBody>
      </xdr:sp>
      <xdr:sp macro="" textlink="">
        <xdr:nvSpPr>
          <xdr:cNvPr id="1392" name="Line 368">
            <a:extLst>
              <a:ext uri="{FF2B5EF4-FFF2-40B4-BE49-F238E27FC236}">
                <a16:creationId xmlns:a16="http://schemas.microsoft.com/office/drawing/2014/main" id="{00000000-0008-0000-0100-000070050000}"/>
              </a:ext>
            </a:extLst>
          </xdr:cNvPr>
          <xdr:cNvSpPr>
            <a:spLocks noChangeShapeType="1"/>
          </xdr:cNvSpPr>
        </xdr:nvSpPr>
        <xdr:spPr bwMode="auto">
          <a:xfrm>
            <a:off x="538" y="256"/>
            <a:ext cx="23" cy="0"/>
          </a:xfrm>
          <a:prstGeom prst="line">
            <a:avLst/>
          </a:prstGeom>
          <a:noFill/>
          <a:ln w="19050" cap="flat">
            <a:solidFill>
              <a:srgbClr val="000000"/>
            </a:solidFill>
            <a:prstDash val="solid"/>
            <a:miter lim="800000"/>
            <a:headEnd/>
            <a:tailEnd/>
          </a:ln>
          <a:extLst>
            <a:ext uri="{909E8E84-426E-40DD-AFC4-6F175D3DCCD1}">
              <a14:hiddenFill xmlns:a14="http://schemas.microsoft.com/office/drawing/2010/main">
                <a:noFill/>
              </a14:hiddenFill>
            </a:ext>
          </a:extLst>
        </xdr:spPr>
      </xdr:sp>
      <xdr:sp macro="" textlink="">
        <xdr:nvSpPr>
          <xdr:cNvPr id="1393" name="Freeform 369">
            <a:extLst>
              <a:ext uri="{FF2B5EF4-FFF2-40B4-BE49-F238E27FC236}">
                <a16:creationId xmlns:a16="http://schemas.microsoft.com/office/drawing/2014/main" id="{00000000-0008-0000-0100-000071050000}"/>
              </a:ext>
            </a:extLst>
          </xdr:cNvPr>
          <xdr:cNvSpPr>
            <a:spLocks noEditPoints="1"/>
          </xdr:cNvSpPr>
        </xdr:nvSpPr>
        <xdr:spPr bwMode="auto">
          <a:xfrm>
            <a:off x="829" y="322"/>
            <a:ext cx="5" cy="199"/>
          </a:xfrm>
          <a:custGeom>
            <a:avLst/>
            <a:gdLst>
              <a:gd name="T0" fmla="*/ 3 w 3"/>
              <a:gd name="T1" fmla="*/ 388 h 398"/>
              <a:gd name="T2" fmla="*/ 0 w 3"/>
              <a:gd name="T3" fmla="*/ 398 h 398"/>
              <a:gd name="T4" fmla="*/ 3 w 3"/>
              <a:gd name="T5" fmla="*/ 381 h 398"/>
              <a:gd name="T6" fmla="*/ 0 w 3"/>
              <a:gd name="T7" fmla="*/ 371 h 398"/>
              <a:gd name="T8" fmla="*/ 3 w 3"/>
              <a:gd name="T9" fmla="*/ 381 h 398"/>
              <a:gd name="T10" fmla="*/ 3 w 3"/>
              <a:gd name="T11" fmla="*/ 354 h 398"/>
              <a:gd name="T12" fmla="*/ 0 w 3"/>
              <a:gd name="T13" fmla="*/ 364 h 398"/>
              <a:gd name="T14" fmla="*/ 3 w 3"/>
              <a:gd name="T15" fmla="*/ 346 h 398"/>
              <a:gd name="T16" fmla="*/ 0 w 3"/>
              <a:gd name="T17" fmla="*/ 337 h 398"/>
              <a:gd name="T18" fmla="*/ 3 w 3"/>
              <a:gd name="T19" fmla="*/ 346 h 398"/>
              <a:gd name="T20" fmla="*/ 3 w 3"/>
              <a:gd name="T21" fmla="*/ 319 h 398"/>
              <a:gd name="T22" fmla="*/ 0 w 3"/>
              <a:gd name="T23" fmla="*/ 329 h 398"/>
              <a:gd name="T24" fmla="*/ 3 w 3"/>
              <a:gd name="T25" fmla="*/ 312 h 398"/>
              <a:gd name="T26" fmla="*/ 0 w 3"/>
              <a:gd name="T27" fmla="*/ 302 h 398"/>
              <a:gd name="T28" fmla="*/ 3 w 3"/>
              <a:gd name="T29" fmla="*/ 312 h 398"/>
              <a:gd name="T30" fmla="*/ 3 w 3"/>
              <a:gd name="T31" fmla="*/ 285 h 398"/>
              <a:gd name="T32" fmla="*/ 0 w 3"/>
              <a:gd name="T33" fmla="*/ 295 h 398"/>
              <a:gd name="T34" fmla="*/ 3 w 3"/>
              <a:gd name="T35" fmla="*/ 277 h 398"/>
              <a:gd name="T36" fmla="*/ 0 w 3"/>
              <a:gd name="T37" fmla="*/ 267 h 398"/>
              <a:gd name="T38" fmla="*/ 3 w 3"/>
              <a:gd name="T39" fmla="*/ 277 h 398"/>
              <a:gd name="T40" fmla="*/ 3 w 3"/>
              <a:gd name="T41" fmla="*/ 250 h 398"/>
              <a:gd name="T42" fmla="*/ 0 w 3"/>
              <a:gd name="T43" fmla="*/ 260 h 398"/>
              <a:gd name="T44" fmla="*/ 3 w 3"/>
              <a:gd name="T45" fmla="*/ 243 h 398"/>
              <a:gd name="T46" fmla="*/ 0 w 3"/>
              <a:gd name="T47" fmla="*/ 233 h 398"/>
              <a:gd name="T48" fmla="*/ 3 w 3"/>
              <a:gd name="T49" fmla="*/ 243 h 398"/>
              <a:gd name="T50" fmla="*/ 3 w 3"/>
              <a:gd name="T51" fmla="*/ 216 h 398"/>
              <a:gd name="T52" fmla="*/ 0 w 3"/>
              <a:gd name="T53" fmla="*/ 226 h 398"/>
              <a:gd name="T54" fmla="*/ 3 w 3"/>
              <a:gd name="T55" fmla="*/ 208 h 398"/>
              <a:gd name="T56" fmla="*/ 0 w 3"/>
              <a:gd name="T57" fmla="*/ 198 h 398"/>
              <a:gd name="T58" fmla="*/ 3 w 3"/>
              <a:gd name="T59" fmla="*/ 208 h 398"/>
              <a:gd name="T60" fmla="*/ 3 w 3"/>
              <a:gd name="T61" fmla="*/ 181 h 398"/>
              <a:gd name="T62" fmla="*/ 0 w 3"/>
              <a:gd name="T63" fmla="*/ 191 h 398"/>
              <a:gd name="T64" fmla="*/ 3 w 3"/>
              <a:gd name="T65" fmla="*/ 174 h 398"/>
              <a:gd name="T66" fmla="*/ 0 w 3"/>
              <a:gd name="T67" fmla="*/ 164 h 398"/>
              <a:gd name="T68" fmla="*/ 3 w 3"/>
              <a:gd name="T69" fmla="*/ 174 h 398"/>
              <a:gd name="T70" fmla="*/ 3 w 3"/>
              <a:gd name="T71" fmla="*/ 147 h 398"/>
              <a:gd name="T72" fmla="*/ 0 w 3"/>
              <a:gd name="T73" fmla="*/ 156 h 398"/>
              <a:gd name="T74" fmla="*/ 3 w 3"/>
              <a:gd name="T75" fmla="*/ 139 h 398"/>
              <a:gd name="T76" fmla="*/ 0 w 3"/>
              <a:gd name="T77" fmla="*/ 129 h 398"/>
              <a:gd name="T78" fmla="*/ 3 w 3"/>
              <a:gd name="T79" fmla="*/ 139 h 398"/>
              <a:gd name="T80" fmla="*/ 3 w 3"/>
              <a:gd name="T81" fmla="*/ 112 h 398"/>
              <a:gd name="T82" fmla="*/ 0 w 3"/>
              <a:gd name="T83" fmla="*/ 122 h 398"/>
              <a:gd name="T84" fmla="*/ 3 w 3"/>
              <a:gd name="T85" fmla="*/ 105 h 398"/>
              <a:gd name="T86" fmla="*/ 0 w 3"/>
              <a:gd name="T87" fmla="*/ 95 h 398"/>
              <a:gd name="T88" fmla="*/ 3 w 3"/>
              <a:gd name="T89" fmla="*/ 105 h 398"/>
              <a:gd name="T90" fmla="*/ 3 w 3"/>
              <a:gd name="T91" fmla="*/ 78 h 398"/>
              <a:gd name="T92" fmla="*/ 0 w 3"/>
              <a:gd name="T93" fmla="*/ 87 h 398"/>
              <a:gd name="T94" fmla="*/ 3 w 3"/>
              <a:gd name="T95" fmla="*/ 70 h 398"/>
              <a:gd name="T96" fmla="*/ 0 w 3"/>
              <a:gd name="T97" fmla="*/ 60 h 398"/>
              <a:gd name="T98" fmla="*/ 3 w 3"/>
              <a:gd name="T99" fmla="*/ 70 h 398"/>
              <a:gd name="T100" fmla="*/ 3 w 3"/>
              <a:gd name="T101" fmla="*/ 43 h 398"/>
              <a:gd name="T102" fmla="*/ 0 w 3"/>
              <a:gd name="T103" fmla="*/ 53 h 398"/>
              <a:gd name="T104" fmla="*/ 3 w 3"/>
              <a:gd name="T105" fmla="*/ 36 h 398"/>
              <a:gd name="T106" fmla="*/ 0 w 3"/>
              <a:gd name="T107" fmla="*/ 26 h 398"/>
              <a:gd name="T108" fmla="*/ 3 w 3"/>
              <a:gd name="T109" fmla="*/ 36 h 398"/>
              <a:gd name="T110" fmla="*/ 3 w 3"/>
              <a:gd name="T111" fmla="*/ 8 h 398"/>
              <a:gd name="T112" fmla="*/ 0 w 3"/>
              <a:gd name="T113" fmla="*/ 18 h 398"/>
              <a:gd name="T114" fmla="*/ 3 w 3"/>
              <a:gd name="T115" fmla="*/ 1 h 398"/>
              <a:gd name="T116" fmla="*/ 0 w 3"/>
              <a:gd name="T117" fmla="*/ 0 h 398"/>
              <a:gd name="T118" fmla="*/ 3 w 3"/>
              <a:gd name="T119" fmla="*/ 1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3" h="398">
                <a:moveTo>
                  <a:pt x="3" y="398"/>
                </a:moveTo>
                <a:lnTo>
                  <a:pt x="3" y="388"/>
                </a:lnTo>
                <a:lnTo>
                  <a:pt x="0" y="388"/>
                </a:lnTo>
                <a:lnTo>
                  <a:pt x="0" y="398"/>
                </a:lnTo>
                <a:lnTo>
                  <a:pt x="3" y="398"/>
                </a:lnTo>
                <a:close/>
                <a:moveTo>
                  <a:pt x="3" y="381"/>
                </a:moveTo>
                <a:lnTo>
                  <a:pt x="3" y="371"/>
                </a:lnTo>
                <a:lnTo>
                  <a:pt x="0" y="371"/>
                </a:lnTo>
                <a:lnTo>
                  <a:pt x="0" y="381"/>
                </a:lnTo>
                <a:lnTo>
                  <a:pt x="3" y="381"/>
                </a:lnTo>
                <a:close/>
                <a:moveTo>
                  <a:pt x="3" y="364"/>
                </a:moveTo>
                <a:lnTo>
                  <a:pt x="3" y="354"/>
                </a:lnTo>
                <a:lnTo>
                  <a:pt x="0" y="354"/>
                </a:lnTo>
                <a:lnTo>
                  <a:pt x="0" y="364"/>
                </a:lnTo>
                <a:lnTo>
                  <a:pt x="3" y="364"/>
                </a:lnTo>
                <a:close/>
                <a:moveTo>
                  <a:pt x="3" y="346"/>
                </a:moveTo>
                <a:lnTo>
                  <a:pt x="3" y="337"/>
                </a:lnTo>
                <a:lnTo>
                  <a:pt x="0" y="337"/>
                </a:lnTo>
                <a:lnTo>
                  <a:pt x="0" y="346"/>
                </a:lnTo>
                <a:lnTo>
                  <a:pt x="3" y="346"/>
                </a:lnTo>
                <a:close/>
                <a:moveTo>
                  <a:pt x="3" y="329"/>
                </a:moveTo>
                <a:lnTo>
                  <a:pt x="3" y="319"/>
                </a:lnTo>
                <a:lnTo>
                  <a:pt x="0" y="319"/>
                </a:lnTo>
                <a:lnTo>
                  <a:pt x="0" y="329"/>
                </a:lnTo>
                <a:lnTo>
                  <a:pt x="3" y="329"/>
                </a:lnTo>
                <a:close/>
                <a:moveTo>
                  <a:pt x="3" y="312"/>
                </a:moveTo>
                <a:lnTo>
                  <a:pt x="3" y="302"/>
                </a:lnTo>
                <a:lnTo>
                  <a:pt x="0" y="302"/>
                </a:lnTo>
                <a:lnTo>
                  <a:pt x="0" y="312"/>
                </a:lnTo>
                <a:lnTo>
                  <a:pt x="3" y="312"/>
                </a:lnTo>
                <a:close/>
                <a:moveTo>
                  <a:pt x="3" y="295"/>
                </a:moveTo>
                <a:lnTo>
                  <a:pt x="3" y="285"/>
                </a:lnTo>
                <a:lnTo>
                  <a:pt x="0" y="285"/>
                </a:lnTo>
                <a:lnTo>
                  <a:pt x="0" y="295"/>
                </a:lnTo>
                <a:lnTo>
                  <a:pt x="3" y="295"/>
                </a:lnTo>
                <a:close/>
                <a:moveTo>
                  <a:pt x="3" y="277"/>
                </a:moveTo>
                <a:lnTo>
                  <a:pt x="3" y="267"/>
                </a:lnTo>
                <a:lnTo>
                  <a:pt x="0" y="267"/>
                </a:lnTo>
                <a:lnTo>
                  <a:pt x="0" y="277"/>
                </a:lnTo>
                <a:lnTo>
                  <a:pt x="3" y="277"/>
                </a:lnTo>
                <a:close/>
                <a:moveTo>
                  <a:pt x="3" y="260"/>
                </a:moveTo>
                <a:lnTo>
                  <a:pt x="3" y="250"/>
                </a:lnTo>
                <a:lnTo>
                  <a:pt x="0" y="250"/>
                </a:lnTo>
                <a:lnTo>
                  <a:pt x="0" y="260"/>
                </a:lnTo>
                <a:lnTo>
                  <a:pt x="3" y="260"/>
                </a:lnTo>
                <a:close/>
                <a:moveTo>
                  <a:pt x="3" y="243"/>
                </a:moveTo>
                <a:lnTo>
                  <a:pt x="3" y="233"/>
                </a:lnTo>
                <a:lnTo>
                  <a:pt x="0" y="233"/>
                </a:lnTo>
                <a:lnTo>
                  <a:pt x="0" y="243"/>
                </a:lnTo>
                <a:lnTo>
                  <a:pt x="3" y="243"/>
                </a:lnTo>
                <a:close/>
                <a:moveTo>
                  <a:pt x="3" y="226"/>
                </a:moveTo>
                <a:lnTo>
                  <a:pt x="3" y="216"/>
                </a:lnTo>
                <a:lnTo>
                  <a:pt x="0" y="216"/>
                </a:lnTo>
                <a:lnTo>
                  <a:pt x="0" y="226"/>
                </a:lnTo>
                <a:lnTo>
                  <a:pt x="3" y="226"/>
                </a:lnTo>
                <a:close/>
                <a:moveTo>
                  <a:pt x="3" y="208"/>
                </a:moveTo>
                <a:lnTo>
                  <a:pt x="3" y="198"/>
                </a:lnTo>
                <a:lnTo>
                  <a:pt x="0" y="198"/>
                </a:lnTo>
                <a:lnTo>
                  <a:pt x="0" y="208"/>
                </a:lnTo>
                <a:lnTo>
                  <a:pt x="3" y="208"/>
                </a:lnTo>
                <a:close/>
                <a:moveTo>
                  <a:pt x="3" y="191"/>
                </a:moveTo>
                <a:lnTo>
                  <a:pt x="3" y="181"/>
                </a:lnTo>
                <a:lnTo>
                  <a:pt x="0" y="181"/>
                </a:lnTo>
                <a:lnTo>
                  <a:pt x="0" y="191"/>
                </a:lnTo>
                <a:lnTo>
                  <a:pt x="3" y="191"/>
                </a:lnTo>
                <a:close/>
                <a:moveTo>
                  <a:pt x="3" y="174"/>
                </a:moveTo>
                <a:lnTo>
                  <a:pt x="3" y="164"/>
                </a:lnTo>
                <a:lnTo>
                  <a:pt x="0" y="164"/>
                </a:lnTo>
                <a:lnTo>
                  <a:pt x="0" y="174"/>
                </a:lnTo>
                <a:lnTo>
                  <a:pt x="3" y="174"/>
                </a:lnTo>
                <a:close/>
                <a:moveTo>
                  <a:pt x="3" y="156"/>
                </a:moveTo>
                <a:lnTo>
                  <a:pt x="3" y="147"/>
                </a:lnTo>
                <a:lnTo>
                  <a:pt x="0" y="147"/>
                </a:lnTo>
                <a:lnTo>
                  <a:pt x="0" y="156"/>
                </a:lnTo>
                <a:lnTo>
                  <a:pt x="3" y="156"/>
                </a:lnTo>
                <a:close/>
                <a:moveTo>
                  <a:pt x="3" y="139"/>
                </a:moveTo>
                <a:lnTo>
                  <a:pt x="3" y="129"/>
                </a:lnTo>
                <a:lnTo>
                  <a:pt x="0" y="129"/>
                </a:lnTo>
                <a:lnTo>
                  <a:pt x="0" y="139"/>
                </a:lnTo>
                <a:lnTo>
                  <a:pt x="3" y="139"/>
                </a:lnTo>
                <a:close/>
                <a:moveTo>
                  <a:pt x="3" y="122"/>
                </a:moveTo>
                <a:lnTo>
                  <a:pt x="3" y="112"/>
                </a:lnTo>
                <a:lnTo>
                  <a:pt x="0" y="112"/>
                </a:lnTo>
                <a:lnTo>
                  <a:pt x="0" y="122"/>
                </a:lnTo>
                <a:lnTo>
                  <a:pt x="3" y="122"/>
                </a:lnTo>
                <a:close/>
                <a:moveTo>
                  <a:pt x="3" y="105"/>
                </a:moveTo>
                <a:lnTo>
                  <a:pt x="3" y="95"/>
                </a:lnTo>
                <a:lnTo>
                  <a:pt x="0" y="95"/>
                </a:lnTo>
                <a:lnTo>
                  <a:pt x="0" y="105"/>
                </a:lnTo>
                <a:lnTo>
                  <a:pt x="3" y="105"/>
                </a:lnTo>
                <a:close/>
                <a:moveTo>
                  <a:pt x="3" y="87"/>
                </a:moveTo>
                <a:lnTo>
                  <a:pt x="3" y="78"/>
                </a:lnTo>
                <a:lnTo>
                  <a:pt x="0" y="78"/>
                </a:lnTo>
                <a:lnTo>
                  <a:pt x="0" y="87"/>
                </a:lnTo>
                <a:lnTo>
                  <a:pt x="3" y="87"/>
                </a:lnTo>
                <a:close/>
                <a:moveTo>
                  <a:pt x="3" y="70"/>
                </a:moveTo>
                <a:lnTo>
                  <a:pt x="3" y="60"/>
                </a:lnTo>
                <a:lnTo>
                  <a:pt x="0" y="60"/>
                </a:lnTo>
                <a:lnTo>
                  <a:pt x="0" y="70"/>
                </a:lnTo>
                <a:lnTo>
                  <a:pt x="3" y="70"/>
                </a:lnTo>
                <a:close/>
                <a:moveTo>
                  <a:pt x="3" y="53"/>
                </a:moveTo>
                <a:lnTo>
                  <a:pt x="3" y="43"/>
                </a:lnTo>
                <a:lnTo>
                  <a:pt x="0" y="43"/>
                </a:lnTo>
                <a:lnTo>
                  <a:pt x="0" y="53"/>
                </a:lnTo>
                <a:lnTo>
                  <a:pt x="3" y="53"/>
                </a:lnTo>
                <a:close/>
                <a:moveTo>
                  <a:pt x="3" y="36"/>
                </a:moveTo>
                <a:lnTo>
                  <a:pt x="3" y="26"/>
                </a:lnTo>
                <a:lnTo>
                  <a:pt x="0" y="26"/>
                </a:lnTo>
                <a:lnTo>
                  <a:pt x="0" y="36"/>
                </a:lnTo>
                <a:lnTo>
                  <a:pt x="3" y="36"/>
                </a:lnTo>
                <a:close/>
                <a:moveTo>
                  <a:pt x="3" y="18"/>
                </a:moveTo>
                <a:lnTo>
                  <a:pt x="3" y="8"/>
                </a:lnTo>
                <a:lnTo>
                  <a:pt x="0" y="8"/>
                </a:lnTo>
                <a:lnTo>
                  <a:pt x="0" y="18"/>
                </a:lnTo>
                <a:lnTo>
                  <a:pt x="3" y="18"/>
                </a:lnTo>
                <a:close/>
                <a:moveTo>
                  <a:pt x="3" y="1"/>
                </a:moveTo>
                <a:lnTo>
                  <a:pt x="3" y="0"/>
                </a:lnTo>
                <a:lnTo>
                  <a:pt x="0" y="0"/>
                </a:lnTo>
                <a:lnTo>
                  <a:pt x="0" y="1"/>
                </a:lnTo>
                <a:lnTo>
                  <a:pt x="3" y="1"/>
                </a:lnTo>
                <a:close/>
              </a:path>
            </a:pathLst>
          </a:custGeom>
          <a:solidFill>
            <a:srgbClr val="FF0000"/>
          </a:solidFill>
          <a:ln w="0" cap="flat">
            <a:solidFill>
              <a:srgbClr val="FF0000"/>
            </a:solidFill>
            <a:prstDash val="solid"/>
            <a:round/>
            <a:headEnd/>
            <a:tailEnd/>
          </a:ln>
        </xdr:spPr>
      </xdr:sp>
      <xdr:sp macro="" textlink="">
        <xdr:nvSpPr>
          <xdr:cNvPr id="1394" name="Freeform 370">
            <a:extLst>
              <a:ext uri="{FF2B5EF4-FFF2-40B4-BE49-F238E27FC236}">
                <a16:creationId xmlns:a16="http://schemas.microsoft.com/office/drawing/2014/main" id="{00000000-0008-0000-0100-000072050000}"/>
              </a:ext>
            </a:extLst>
          </xdr:cNvPr>
          <xdr:cNvSpPr>
            <a:spLocks noEditPoints="1"/>
          </xdr:cNvSpPr>
        </xdr:nvSpPr>
        <xdr:spPr bwMode="auto">
          <a:xfrm>
            <a:off x="890" y="299"/>
            <a:ext cx="164" cy="3"/>
          </a:xfrm>
          <a:custGeom>
            <a:avLst/>
            <a:gdLst>
              <a:gd name="T0" fmla="*/ 0 w 164"/>
              <a:gd name="T1" fmla="*/ 0 h 3"/>
              <a:gd name="T2" fmla="*/ 10 w 164"/>
              <a:gd name="T3" fmla="*/ 0 h 3"/>
              <a:gd name="T4" fmla="*/ 10 w 164"/>
              <a:gd name="T5" fmla="*/ 3 h 3"/>
              <a:gd name="T6" fmla="*/ 0 w 164"/>
              <a:gd name="T7" fmla="*/ 3 h 3"/>
              <a:gd name="T8" fmla="*/ 0 w 164"/>
              <a:gd name="T9" fmla="*/ 0 h 3"/>
              <a:gd name="T10" fmla="*/ 17 w 164"/>
              <a:gd name="T11" fmla="*/ 0 h 3"/>
              <a:gd name="T12" fmla="*/ 27 w 164"/>
              <a:gd name="T13" fmla="*/ 0 h 3"/>
              <a:gd name="T14" fmla="*/ 27 w 164"/>
              <a:gd name="T15" fmla="*/ 3 h 3"/>
              <a:gd name="T16" fmla="*/ 17 w 164"/>
              <a:gd name="T17" fmla="*/ 3 h 3"/>
              <a:gd name="T18" fmla="*/ 17 w 164"/>
              <a:gd name="T19" fmla="*/ 0 h 3"/>
              <a:gd name="T20" fmla="*/ 35 w 164"/>
              <a:gd name="T21" fmla="*/ 0 h 3"/>
              <a:gd name="T22" fmla="*/ 44 w 164"/>
              <a:gd name="T23" fmla="*/ 0 h 3"/>
              <a:gd name="T24" fmla="*/ 44 w 164"/>
              <a:gd name="T25" fmla="*/ 3 h 3"/>
              <a:gd name="T26" fmla="*/ 35 w 164"/>
              <a:gd name="T27" fmla="*/ 3 h 3"/>
              <a:gd name="T28" fmla="*/ 35 w 164"/>
              <a:gd name="T29" fmla="*/ 0 h 3"/>
              <a:gd name="T30" fmla="*/ 52 w 164"/>
              <a:gd name="T31" fmla="*/ 0 h 3"/>
              <a:gd name="T32" fmla="*/ 61 w 164"/>
              <a:gd name="T33" fmla="*/ 0 h 3"/>
              <a:gd name="T34" fmla="*/ 61 w 164"/>
              <a:gd name="T35" fmla="*/ 3 h 3"/>
              <a:gd name="T36" fmla="*/ 52 w 164"/>
              <a:gd name="T37" fmla="*/ 3 h 3"/>
              <a:gd name="T38" fmla="*/ 52 w 164"/>
              <a:gd name="T39" fmla="*/ 0 h 3"/>
              <a:gd name="T40" fmla="*/ 69 w 164"/>
              <a:gd name="T41" fmla="*/ 0 h 3"/>
              <a:gd name="T42" fmla="*/ 79 w 164"/>
              <a:gd name="T43" fmla="*/ 0 h 3"/>
              <a:gd name="T44" fmla="*/ 79 w 164"/>
              <a:gd name="T45" fmla="*/ 3 h 3"/>
              <a:gd name="T46" fmla="*/ 69 w 164"/>
              <a:gd name="T47" fmla="*/ 3 h 3"/>
              <a:gd name="T48" fmla="*/ 69 w 164"/>
              <a:gd name="T49" fmla="*/ 0 h 3"/>
              <a:gd name="T50" fmla="*/ 86 w 164"/>
              <a:gd name="T51" fmla="*/ 0 h 3"/>
              <a:gd name="T52" fmla="*/ 96 w 164"/>
              <a:gd name="T53" fmla="*/ 0 h 3"/>
              <a:gd name="T54" fmla="*/ 96 w 164"/>
              <a:gd name="T55" fmla="*/ 3 h 3"/>
              <a:gd name="T56" fmla="*/ 86 w 164"/>
              <a:gd name="T57" fmla="*/ 3 h 3"/>
              <a:gd name="T58" fmla="*/ 86 w 164"/>
              <a:gd name="T59" fmla="*/ 0 h 3"/>
              <a:gd name="T60" fmla="*/ 103 w 164"/>
              <a:gd name="T61" fmla="*/ 0 h 3"/>
              <a:gd name="T62" fmla="*/ 113 w 164"/>
              <a:gd name="T63" fmla="*/ 0 h 3"/>
              <a:gd name="T64" fmla="*/ 113 w 164"/>
              <a:gd name="T65" fmla="*/ 3 h 3"/>
              <a:gd name="T66" fmla="*/ 103 w 164"/>
              <a:gd name="T67" fmla="*/ 3 h 3"/>
              <a:gd name="T68" fmla="*/ 103 w 164"/>
              <a:gd name="T69" fmla="*/ 0 h 3"/>
              <a:gd name="T70" fmla="*/ 120 w 164"/>
              <a:gd name="T71" fmla="*/ 0 h 3"/>
              <a:gd name="T72" fmla="*/ 130 w 164"/>
              <a:gd name="T73" fmla="*/ 0 h 3"/>
              <a:gd name="T74" fmla="*/ 130 w 164"/>
              <a:gd name="T75" fmla="*/ 3 h 3"/>
              <a:gd name="T76" fmla="*/ 120 w 164"/>
              <a:gd name="T77" fmla="*/ 3 h 3"/>
              <a:gd name="T78" fmla="*/ 120 w 164"/>
              <a:gd name="T79" fmla="*/ 0 h 3"/>
              <a:gd name="T80" fmla="*/ 137 w 164"/>
              <a:gd name="T81" fmla="*/ 0 h 3"/>
              <a:gd name="T82" fmla="*/ 147 w 164"/>
              <a:gd name="T83" fmla="*/ 0 h 3"/>
              <a:gd name="T84" fmla="*/ 147 w 164"/>
              <a:gd name="T85" fmla="*/ 3 h 3"/>
              <a:gd name="T86" fmla="*/ 137 w 164"/>
              <a:gd name="T87" fmla="*/ 3 h 3"/>
              <a:gd name="T88" fmla="*/ 137 w 164"/>
              <a:gd name="T89" fmla="*/ 0 h 3"/>
              <a:gd name="T90" fmla="*/ 155 w 164"/>
              <a:gd name="T91" fmla="*/ 0 h 3"/>
              <a:gd name="T92" fmla="*/ 164 w 164"/>
              <a:gd name="T93" fmla="*/ 0 h 3"/>
              <a:gd name="T94" fmla="*/ 164 w 164"/>
              <a:gd name="T95" fmla="*/ 3 h 3"/>
              <a:gd name="T96" fmla="*/ 155 w 164"/>
              <a:gd name="T97" fmla="*/ 3 h 3"/>
              <a:gd name="T98" fmla="*/ 155 w 164"/>
              <a:gd name="T99" fmla="*/ 0 h 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164" h="3">
                <a:moveTo>
                  <a:pt x="0" y="0"/>
                </a:moveTo>
                <a:lnTo>
                  <a:pt x="10" y="0"/>
                </a:lnTo>
                <a:lnTo>
                  <a:pt x="10" y="3"/>
                </a:lnTo>
                <a:lnTo>
                  <a:pt x="0" y="3"/>
                </a:lnTo>
                <a:lnTo>
                  <a:pt x="0" y="0"/>
                </a:lnTo>
                <a:close/>
                <a:moveTo>
                  <a:pt x="17" y="0"/>
                </a:moveTo>
                <a:lnTo>
                  <a:pt x="27" y="0"/>
                </a:lnTo>
                <a:lnTo>
                  <a:pt x="27" y="3"/>
                </a:lnTo>
                <a:lnTo>
                  <a:pt x="17" y="3"/>
                </a:lnTo>
                <a:lnTo>
                  <a:pt x="17" y="0"/>
                </a:lnTo>
                <a:close/>
                <a:moveTo>
                  <a:pt x="35" y="0"/>
                </a:moveTo>
                <a:lnTo>
                  <a:pt x="44" y="0"/>
                </a:lnTo>
                <a:lnTo>
                  <a:pt x="44" y="3"/>
                </a:lnTo>
                <a:lnTo>
                  <a:pt x="35" y="3"/>
                </a:lnTo>
                <a:lnTo>
                  <a:pt x="35" y="0"/>
                </a:lnTo>
                <a:close/>
                <a:moveTo>
                  <a:pt x="52" y="0"/>
                </a:moveTo>
                <a:lnTo>
                  <a:pt x="61" y="0"/>
                </a:lnTo>
                <a:lnTo>
                  <a:pt x="61" y="3"/>
                </a:lnTo>
                <a:lnTo>
                  <a:pt x="52" y="3"/>
                </a:lnTo>
                <a:lnTo>
                  <a:pt x="52" y="0"/>
                </a:lnTo>
                <a:close/>
                <a:moveTo>
                  <a:pt x="69" y="0"/>
                </a:moveTo>
                <a:lnTo>
                  <a:pt x="79" y="0"/>
                </a:lnTo>
                <a:lnTo>
                  <a:pt x="79" y="3"/>
                </a:lnTo>
                <a:lnTo>
                  <a:pt x="69" y="3"/>
                </a:lnTo>
                <a:lnTo>
                  <a:pt x="69" y="0"/>
                </a:lnTo>
                <a:close/>
                <a:moveTo>
                  <a:pt x="86" y="0"/>
                </a:moveTo>
                <a:lnTo>
                  <a:pt x="96" y="0"/>
                </a:lnTo>
                <a:lnTo>
                  <a:pt x="96" y="3"/>
                </a:lnTo>
                <a:lnTo>
                  <a:pt x="86" y="3"/>
                </a:lnTo>
                <a:lnTo>
                  <a:pt x="86" y="0"/>
                </a:lnTo>
                <a:close/>
                <a:moveTo>
                  <a:pt x="103" y="0"/>
                </a:moveTo>
                <a:lnTo>
                  <a:pt x="113" y="0"/>
                </a:lnTo>
                <a:lnTo>
                  <a:pt x="113" y="3"/>
                </a:lnTo>
                <a:lnTo>
                  <a:pt x="103" y="3"/>
                </a:lnTo>
                <a:lnTo>
                  <a:pt x="103" y="0"/>
                </a:lnTo>
                <a:close/>
                <a:moveTo>
                  <a:pt x="120" y="0"/>
                </a:moveTo>
                <a:lnTo>
                  <a:pt x="130" y="0"/>
                </a:lnTo>
                <a:lnTo>
                  <a:pt x="130" y="3"/>
                </a:lnTo>
                <a:lnTo>
                  <a:pt x="120" y="3"/>
                </a:lnTo>
                <a:lnTo>
                  <a:pt x="120" y="0"/>
                </a:lnTo>
                <a:close/>
                <a:moveTo>
                  <a:pt x="137" y="0"/>
                </a:moveTo>
                <a:lnTo>
                  <a:pt x="147" y="0"/>
                </a:lnTo>
                <a:lnTo>
                  <a:pt x="147" y="3"/>
                </a:lnTo>
                <a:lnTo>
                  <a:pt x="137" y="3"/>
                </a:lnTo>
                <a:lnTo>
                  <a:pt x="137" y="0"/>
                </a:lnTo>
                <a:close/>
                <a:moveTo>
                  <a:pt x="155" y="0"/>
                </a:moveTo>
                <a:lnTo>
                  <a:pt x="164" y="0"/>
                </a:lnTo>
                <a:lnTo>
                  <a:pt x="164" y="3"/>
                </a:lnTo>
                <a:lnTo>
                  <a:pt x="155" y="3"/>
                </a:lnTo>
                <a:lnTo>
                  <a:pt x="155" y="0"/>
                </a:lnTo>
                <a:close/>
              </a:path>
            </a:pathLst>
          </a:custGeom>
          <a:solidFill>
            <a:srgbClr val="000000"/>
          </a:solidFill>
          <a:ln w="0" cap="flat">
            <a:solidFill>
              <a:srgbClr val="000000"/>
            </a:solidFill>
            <a:prstDash val="solid"/>
            <a:round/>
            <a:headEnd/>
            <a:tailEnd/>
          </a:ln>
        </xdr:spPr>
      </xdr:sp>
    </xdr:grpSp>
    <xdr:clientData/>
  </xdr:twoCellAnchor>
  <xdr:twoCellAnchor>
    <xdr:from>
      <xdr:col>6</xdr:col>
      <xdr:colOff>89646</xdr:colOff>
      <xdr:row>12</xdr:row>
      <xdr:rowOff>145676</xdr:rowOff>
    </xdr:from>
    <xdr:to>
      <xdr:col>7</xdr:col>
      <xdr:colOff>1558737</xdr:colOff>
      <xdr:row>12</xdr:row>
      <xdr:rowOff>191395</xdr:rowOff>
    </xdr:to>
    <xdr:sp macro="" textlink="">
      <xdr:nvSpPr>
        <xdr:cNvPr id="372" name="Freeform 369">
          <a:extLst>
            <a:ext uri="{FF2B5EF4-FFF2-40B4-BE49-F238E27FC236}">
              <a16:creationId xmlns:a16="http://schemas.microsoft.com/office/drawing/2014/main" id="{00000000-0008-0000-0100-000074010000}"/>
            </a:ext>
          </a:extLst>
        </xdr:cNvPr>
        <xdr:cNvSpPr>
          <a:spLocks noEditPoints="1"/>
        </xdr:cNvSpPr>
      </xdr:nvSpPr>
      <xdr:spPr bwMode="auto">
        <a:xfrm rot="5400000">
          <a:off x="7059817" y="2252269"/>
          <a:ext cx="45719" cy="1682003"/>
        </a:xfrm>
        <a:custGeom>
          <a:avLst/>
          <a:gdLst>
            <a:gd name="T0" fmla="*/ 3 w 3"/>
            <a:gd name="T1" fmla="*/ 388 h 398"/>
            <a:gd name="T2" fmla="*/ 0 w 3"/>
            <a:gd name="T3" fmla="*/ 398 h 398"/>
            <a:gd name="T4" fmla="*/ 3 w 3"/>
            <a:gd name="T5" fmla="*/ 381 h 398"/>
            <a:gd name="T6" fmla="*/ 0 w 3"/>
            <a:gd name="T7" fmla="*/ 371 h 398"/>
            <a:gd name="T8" fmla="*/ 3 w 3"/>
            <a:gd name="T9" fmla="*/ 381 h 398"/>
            <a:gd name="T10" fmla="*/ 3 w 3"/>
            <a:gd name="T11" fmla="*/ 354 h 398"/>
            <a:gd name="T12" fmla="*/ 0 w 3"/>
            <a:gd name="T13" fmla="*/ 364 h 398"/>
            <a:gd name="T14" fmla="*/ 3 w 3"/>
            <a:gd name="T15" fmla="*/ 346 h 398"/>
            <a:gd name="T16" fmla="*/ 0 w 3"/>
            <a:gd name="T17" fmla="*/ 337 h 398"/>
            <a:gd name="T18" fmla="*/ 3 w 3"/>
            <a:gd name="T19" fmla="*/ 346 h 398"/>
            <a:gd name="T20" fmla="*/ 3 w 3"/>
            <a:gd name="T21" fmla="*/ 319 h 398"/>
            <a:gd name="T22" fmla="*/ 0 w 3"/>
            <a:gd name="T23" fmla="*/ 329 h 398"/>
            <a:gd name="T24" fmla="*/ 3 w 3"/>
            <a:gd name="T25" fmla="*/ 312 h 398"/>
            <a:gd name="T26" fmla="*/ 0 w 3"/>
            <a:gd name="T27" fmla="*/ 302 h 398"/>
            <a:gd name="T28" fmla="*/ 3 w 3"/>
            <a:gd name="T29" fmla="*/ 312 h 398"/>
            <a:gd name="T30" fmla="*/ 3 w 3"/>
            <a:gd name="T31" fmla="*/ 285 h 398"/>
            <a:gd name="T32" fmla="*/ 0 w 3"/>
            <a:gd name="T33" fmla="*/ 295 h 398"/>
            <a:gd name="T34" fmla="*/ 3 w 3"/>
            <a:gd name="T35" fmla="*/ 277 h 398"/>
            <a:gd name="T36" fmla="*/ 0 w 3"/>
            <a:gd name="T37" fmla="*/ 267 h 398"/>
            <a:gd name="T38" fmla="*/ 3 w 3"/>
            <a:gd name="T39" fmla="*/ 277 h 398"/>
            <a:gd name="T40" fmla="*/ 3 w 3"/>
            <a:gd name="T41" fmla="*/ 250 h 398"/>
            <a:gd name="T42" fmla="*/ 0 w 3"/>
            <a:gd name="T43" fmla="*/ 260 h 398"/>
            <a:gd name="T44" fmla="*/ 3 w 3"/>
            <a:gd name="T45" fmla="*/ 243 h 398"/>
            <a:gd name="T46" fmla="*/ 0 w 3"/>
            <a:gd name="T47" fmla="*/ 233 h 398"/>
            <a:gd name="T48" fmla="*/ 3 w 3"/>
            <a:gd name="T49" fmla="*/ 243 h 398"/>
            <a:gd name="T50" fmla="*/ 3 w 3"/>
            <a:gd name="T51" fmla="*/ 216 h 398"/>
            <a:gd name="T52" fmla="*/ 0 w 3"/>
            <a:gd name="T53" fmla="*/ 226 h 398"/>
            <a:gd name="T54" fmla="*/ 3 w 3"/>
            <a:gd name="T55" fmla="*/ 208 h 398"/>
            <a:gd name="T56" fmla="*/ 0 w 3"/>
            <a:gd name="T57" fmla="*/ 198 h 398"/>
            <a:gd name="T58" fmla="*/ 3 w 3"/>
            <a:gd name="T59" fmla="*/ 208 h 398"/>
            <a:gd name="T60" fmla="*/ 3 w 3"/>
            <a:gd name="T61" fmla="*/ 181 h 398"/>
            <a:gd name="T62" fmla="*/ 0 w 3"/>
            <a:gd name="T63" fmla="*/ 191 h 398"/>
            <a:gd name="T64" fmla="*/ 3 w 3"/>
            <a:gd name="T65" fmla="*/ 174 h 398"/>
            <a:gd name="T66" fmla="*/ 0 w 3"/>
            <a:gd name="T67" fmla="*/ 164 h 398"/>
            <a:gd name="T68" fmla="*/ 3 w 3"/>
            <a:gd name="T69" fmla="*/ 174 h 398"/>
            <a:gd name="T70" fmla="*/ 3 w 3"/>
            <a:gd name="T71" fmla="*/ 147 h 398"/>
            <a:gd name="T72" fmla="*/ 0 w 3"/>
            <a:gd name="T73" fmla="*/ 156 h 398"/>
            <a:gd name="T74" fmla="*/ 3 w 3"/>
            <a:gd name="T75" fmla="*/ 139 h 398"/>
            <a:gd name="T76" fmla="*/ 0 w 3"/>
            <a:gd name="T77" fmla="*/ 129 h 398"/>
            <a:gd name="T78" fmla="*/ 3 w 3"/>
            <a:gd name="T79" fmla="*/ 139 h 398"/>
            <a:gd name="T80" fmla="*/ 3 w 3"/>
            <a:gd name="T81" fmla="*/ 112 h 398"/>
            <a:gd name="T82" fmla="*/ 0 w 3"/>
            <a:gd name="T83" fmla="*/ 122 h 398"/>
            <a:gd name="T84" fmla="*/ 3 w 3"/>
            <a:gd name="T85" fmla="*/ 105 h 398"/>
            <a:gd name="T86" fmla="*/ 0 w 3"/>
            <a:gd name="T87" fmla="*/ 95 h 398"/>
            <a:gd name="T88" fmla="*/ 3 w 3"/>
            <a:gd name="T89" fmla="*/ 105 h 398"/>
            <a:gd name="T90" fmla="*/ 3 w 3"/>
            <a:gd name="T91" fmla="*/ 78 h 398"/>
            <a:gd name="T92" fmla="*/ 0 w 3"/>
            <a:gd name="T93" fmla="*/ 87 h 398"/>
            <a:gd name="T94" fmla="*/ 3 w 3"/>
            <a:gd name="T95" fmla="*/ 70 h 398"/>
            <a:gd name="T96" fmla="*/ 0 w 3"/>
            <a:gd name="T97" fmla="*/ 60 h 398"/>
            <a:gd name="T98" fmla="*/ 3 w 3"/>
            <a:gd name="T99" fmla="*/ 70 h 398"/>
            <a:gd name="T100" fmla="*/ 3 w 3"/>
            <a:gd name="T101" fmla="*/ 43 h 398"/>
            <a:gd name="T102" fmla="*/ 0 w 3"/>
            <a:gd name="T103" fmla="*/ 53 h 398"/>
            <a:gd name="T104" fmla="*/ 3 w 3"/>
            <a:gd name="T105" fmla="*/ 36 h 398"/>
            <a:gd name="T106" fmla="*/ 0 w 3"/>
            <a:gd name="T107" fmla="*/ 26 h 398"/>
            <a:gd name="T108" fmla="*/ 3 w 3"/>
            <a:gd name="T109" fmla="*/ 36 h 398"/>
            <a:gd name="T110" fmla="*/ 3 w 3"/>
            <a:gd name="T111" fmla="*/ 8 h 398"/>
            <a:gd name="T112" fmla="*/ 0 w 3"/>
            <a:gd name="T113" fmla="*/ 18 h 398"/>
            <a:gd name="T114" fmla="*/ 3 w 3"/>
            <a:gd name="T115" fmla="*/ 1 h 398"/>
            <a:gd name="T116" fmla="*/ 0 w 3"/>
            <a:gd name="T117" fmla="*/ 0 h 398"/>
            <a:gd name="T118" fmla="*/ 3 w 3"/>
            <a:gd name="T119" fmla="*/ 1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3" h="398">
              <a:moveTo>
                <a:pt x="3" y="398"/>
              </a:moveTo>
              <a:lnTo>
                <a:pt x="3" y="388"/>
              </a:lnTo>
              <a:lnTo>
                <a:pt x="0" y="388"/>
              </a:lnTo>
              <a:lnTo>
                <a:pt x="0" y="398"/>
              </a:lnTo>
              <a:lnTo>
                <a:pt x="3" y="398"/>
              </a:lnTo>
              <a:close/>
              <a:moveTo>
                <a:pt x="3" y="381"/>
              </a:moveTo>
              <a:lnTo>
                <a:pt x="3" y="371"/>
              </a:lnTo>
              <a:lnTo>
                <a:pt x="0" y="371"/>
              </a:lnTo>
              <a:lnTo>
                <a:pt x="0" y="381"/>
              </a:lnTo>
              <a:lnTo>
                <a:pt x="3" y="381"/>
              </a:lnTo>
              <a:close/>
              <a:moveTo>
                <a:pt x="3" y="364"/>
              </a:moveTo>
              <a:lnTo>
                <a:pt x="3" y="354"/>
              </a:lnTo>
              <a:lnTo>
                <a:pt x="0" y="354"/>
              </a:lnTo>
              <a:lnTo>
                <a:pt x="0" y="364"/>
              </a:lnTo>
              <a:lnTo>
                <a:pt x="3" y="364"/>
              </a:lnTo>
              <a:close/>
              <a:moveTo>
                <a:pt x="3" y="346"/>
              </a:moveTo>
              <a:lnTo>
                <a:pt x="3" y="337"/>
              </a:lnTo>
              <a:lnTo>
                <a:pt x="0" y="337"/>
              </a:lnTo>
              <a:lnTo>
                <a:pt x="0" y="346"/>
              </a:lnTo>
              <a:lnTo>
                <a:pt x="3" y="346"/>
              </a:lnTo>
              <a:close/>
              <a:moveTo>
                <a:pt x="3" y="329"/>
              </a:moveTo>
              <a:lnTo>
                <a:pt x="3" y="319"/>
              </a:lnTo>
              <a:lnTo>
                <a:pt x="0" y="319"/>
              </a:lnTo>
              <a:lnTo>
                <a:pt x="0" y="329"/>
              </a:lnTo>
              <a:lnTo>
                <a:pt x="3" y="329"/>
              </a:lnTo>
              <a:close/>
              <a:moveTo>
                <a:pt x="3" y="312"/>
              </a:moveTo>
              <a:lnTo>
                <a:pt x="3" y="302"/>
              </a:lnTo>
              <a:lnTo>
                <a:pt x="0" y="302"/>
              </a:lnTo>
              <a:lnTo>
                <a:pt x="0" y="312"/>
              </a:lnTo>
              <a:lnTo>
                <a:pt x="3" y="312"/>
              </a:lnTo>
              <a:close/>
              <a:moveTo>
                <a:pt x="3" y="295"/>
              </a:moveTo>
              <a:lnTo>
                <a:pt x="3" y="285"/>
              </a:lnTo>
              <a:lnTo>
                <a:pt x="0" y="285"/>
              </a:lnTo>
              <a:lnTo>
                <a:pt x="0" y="295"/>
              </a:lnTo>
              <a:lnTo>
                <a:pt x="3" y="295"/>
              </a:lnTo>
              <a:close/>
              <a:moveTo>
                <a:pt x="3" y="277"/>
              </a:moveTo>
              <a:lnTo>
                <a:pt x="3" y="267"/>
              </a:lnTo>
              <a:lnTo>
                <a:pt x="0" y="267"/>
              </a:lnTo>
              <a:lnTo>
                <a:pt x="0" y="277"/>
              </a:lnTo>
              <a:lnTo>
                <a:pt x="3" y="277"/>
              </a:lnTo>
              <a:close/>
              <a:moveTo>
                <a:pt x="3" y="260"/>
              </a:moveTo>
              <a:lnTo>
                <a:pt x="3" y="250"/>
              </a:lnTo>
              <a:lnTo>
                <a:pt x="0" y="250"/>
              </a:lnTo>
              <a:lnTo>
                <a:pt x="0" y="260"/>
              </a:lnTo>
              <a:lnTo>
                <a:pt x="3" y="260"/>
              </a:lnTo>
              <a:close/>
              <a:moveTo>
                <a:pt x="3" y="243"/>
              </a:moveTo>
              <a:lnTo>
                <a:pt x="3" y="233"/>
              </a:lnTo>
              <a:lnTo>
                <a:pt x="0" y="233"/>
              </a:lnTo>
              <a:lnTo>
                <a:pt x="0" y="243"/>
              </a:lnTo>
              <a:lnTo>
                <a:pt x="3" y="243"/>
              </a:lnTo>
              <a:close/>
              <a:moveTo>
                <a:pt x="3" y="226"/>
              </a:moveTo>
              <a:lnTo>
                <a:pt x="3" y="216"/>
              </a:lnTo>
              <a:lnTo>
                <a:pt x="0" y="216"/>
              </a:lnTo>
              <a:lnTo>
                <a:pt x="0" y="226"/>
              </a:lnTo>
              <a:lnTo>
                <a:pt x="3" y="226"/>
              </a:lnTo>
              <a:close/>
              <a:moveTo>
                <a:pt x="3" y="208"/>
              </a:moveTo>
              <a:lnTo>
                <a:pt x="3" y="198"/>
              </a:lnTo>
              <a:lnTo>
                <a:pt x="0" y="198"/>
              </a:lnTo>
              <a:lnTo>
                <a:pt x="0" y="208"/>
              </a:lnTo>
              <a:lnTo>
                <a:pt x="3" y="208"/>
              </a:lnTo>
              <a:close/>
              <a:moveTo>
                <a:pt x="3" y="191"/>
              </a:moveTo>
              <a:lnTo>
                <a:pt x="3" y="181"/>
              </a:lnTo>
              <a:lnTo>
                <a:pt x="0" y="181"/>
              </a:lnTo>
              <a:lnTo>
                <a:pt x="0" y="191"/>
              </a:lnTo>
              <a:lnTo>
                <a:pt x="3" y="191"/>
              </a:lnTo>
              <a:close/>
              <a:moveTo>
                <a:pt x="3" y="174"/>
              </a:moveTo>
              <a:lnTo>
                <a:pt x="3" y="164"/>
              </a:lnTo>
              <a:lnTo>
                <a:pt x="0" y="164"/>
              </a:lnTo>
              <a:lnTo>
                <a:pt x="0" y="174"/>
              </a:lnTo>
              <a:lnTo>
                <a:pt x="3" y="174"/>
              </a:lnTo>
              <a:close/>
              <a:moveTo>
                <a:pt x="3" y="156"/>
              </a:moveTo>
              <a:lnTo>
                <a:pt x="3" y="147"/>
              </a:lnTo>
              <a:lnTo>
                <a:pt x="0" y="147"/>
              </a:lnTo>
              <a:lnTo>
                <a:pt x="0" y="156"/>
              </a:lnTo>
              <a:lnTo>
                <a:pt x="3" y="156"/>
              </a:lnTo>
              <a:close/>
              <a:moveTo>
                <a:pt x="3" y="139"/>
              </a:moveTo>
              <a:lnTo>
                <a:pt x="3" y="129"/>
              </a:lnTo>
              <a:lnTo>
                <a:pt x="0" y="129"/>
              </a:lnTo>
              <a:lnTo>
                <a:pt x="0" y="139"/>
              </a:lnTo>
              <a:lnTo>
                <a:pt x="3" y="139"/>
              </a:lnTo>
              <a:close/>
              <a:moveTo>
                <a:pt x="3" y="122"/>
              </a:moveTo>
              <a:lnTo>
                <a:pt x="3" y="112"/>
              </a:lnTo>
              <a:lnTo>
                <a:pt x="0" y="112"/>
              </a:lnTo>
              <a:lnTo>
                <a:pt x="0" y="122"/>
              </a:lnTo>
              <a:lnTo>
                <a:pt x="3" y="122"/>
              </a:lnTo>
              <a:close/>
              <a:moveTo>
                <a:pt x="3" y="105"/>
              </a:moveTo>
              <a:lnTo>
                <a:pt x="3" y="95"/>
              </a:lnTo>
              <a:lnTo>
                <a:pt x="0" y="95"/>
              </a:lnTo>
              <a:lnTo>
                <a:pt x="0" y="105"/>
              </a:lnTo>
              <a:lnTo>
                <a:pt x="3" y="105"/>
              </a:lnTo>
              <a:close/>
              <a:moveTo>
                <a:pt x="3" y="87"/>
              </a:moveTo>
              <a:lnTo>
                <a:pt x="3" y="78"/>
              </a:lnTo>
              <a:lnTo>
                <a:pt x="0" y="78"/>
              </a:lnTo>
              <a:lnTo>
                <a:pt x="0" y="87"/>
              </a:lnTo>
              <a:lnTo>
                <a:pt x="3" y="87"/>
              </a:lnTo>
              <a:close/>
              <a:moveTo>
                <a:pt x="3" y="70"/>
              </a:moveTo>
              <a:lnTo>
                <a:pt x="3" y="60"/>
              </a:lnTo>
              <a:lnTo>
                <a:pt x="0" y="60"/>
              </a:lnTo>
              <a:lnTo>
                <a:pt x="0" y="70"/>
              </a:lnTo>
              <a:lnTo>
                <a:pt x="3" y="70"/>
              </a:lnTo>
              <a:close/>
              <a:moveTo>
                <a:pt x="3" y="53"/>
              </a:moveTo>
              <a:lnTo>
                <a:pt x="3" y="43"/>
              </a:lnTo>
              <a:lnTo>
                <a:pt x="0" y="43"/>
              </a:lnTo>
              <a:lnTo>
                <a:pt x="0" y="53"/>
              </a:lnTo>
              <a:lnTo>
                <a:pt x="3" y="53"/>
              </a:lnTo>
              <a:close/>
              <a:moveTo>
                <a:pt x="3" y="36"/>
              </a:moveTo>
              <a:lnTo>
                <a:pt x="3" y="26"/>
              </a:lnTo>
              <a:lnTo>
                <a:pt x="0" y="26"/>
              </a:lnTo>
              <a:lnTo>
                <a:pt x="0" y="36"/>
              </a:lnTo>
              <a:lnTo>
                <a:pt x="3" y="36"/>
              </a:lnTo>
              <a:close/>
              <a:moveTo>
                <a:pt x="3" y="18"/>
              </a:moveTo>
              <a:lnTo>
                <a:pt x="3" y="8"/>
              </a:lnTo>
              <a:lnTo>
                <a:pt x="0" y="8"/>
              </a:lnTo>
              <a:lnTo>
                <a:pt x="0" y="18"/>
              </a:lnTo>
              <a:lnTo>
                <a:pt x="3" y="18"/>
              </a:lnTo>
              <a:close/>
              <a:moveTo>
                <a:pt x="3" y="1"/>
              </a:moveTo>
              <a:lnTo>
                <a:pt x="3" y="0"/>
              </a:lnTo>
              <a:lnTo>
                <a:pt x="0" y="0"/>
              </a:lnTo>
              <a:lnTo>
                <a:pt x="0" y="1"/>
              </a:lnTo>
              <a:lnTo>
                <a:pt x="3" y="1"/>
              </a:lnTo>
              <a:close/>
            </a:path>
          </a:pathLst>
        </a:custGeom>
        <a:solidFill>
          <a:srgbClr val="FF0000"/>
        </a:solidFill>
        <a:ln w="0" cap="flat">
          <a:solidFill>
            <a:srgbClr val="FF0000"/>
          </a:solidFill>
          <a:prstDash val="solid"/>
          <a:round/>
          <a:headEnd/>
          <a:tailEnd/>
        </a:ln>
      </xdr:spPr>
    </xdr:sp>
    <xdr:clientData/>
  </xdr:twoCellAnchor>
  <xdr:twoCellAnchor>
    <xdr:from>
      <xdr:col>6</xdr:col>
      <xdr:colOff>105336</xdr:colOff>
      <xdr:row>5</xdr:row>
      <xdr:rowOff>95811</xdr:rowOff>
    </xdr:from>
    <xdr:to>
      <xdr:col>6</xdr:col>
      <xdr:colOff>152961</xdr:colOff>
      <xdr:row>12</xdr:row>
      <xdr:rowOff>187139</xdr:rowOff>
    </xdr:to>
    <xdr:sp macro="" textlink="">
      <xdr:nvSpPr>
        <xdr:cNvPr id="373" name="Freeform 369">
          <a:extLst>
            <a:ext uri="{FF2B5EF4-FFF2-40B4-BE49-F238E27FC236}">
              <a16:creationId xmlns:a16="http://schemas.microsoft.com/office/drawing/2014/main" id="{00000000-0008-0000-0100-000075010000}"/>
            </a:ext>
          </a:extLst>
        </xdr:cNvPr>
        <xdr:cNvSpPr>
          <a:spLocks noEditPoints="1"/>
        </xdr:cNvSpPr>
      </xdr:nvSpPr>
      <xdr:spPr bwMode="auto">
        <a:xfrm>
          <a:off x="6257365" y="1216399"/>
          <a:ext cx="47625" cy="1895475"/>
        </a:xfrm>
        <a:custGeom>
          <a:avLst/>
          <a:gdLst>
            <a:gd name="T0" fmla="*/ 3 w 3"/>
            <a:gd name="T1" fmla="*/ 388 h 398"/>
            <a:gd name="T2" fmla="*/ 0 w 3"/>
            <a:gd name="T3" fmla="*/ 398 h 398"/>
            <a:gd name="T4" fmla="*/ 3 w 3"/>
            <a:gd name="T5" fmla="*/ 381 h 398"/>
            <a:gd name="T6" fmla="*/ 0 w 3"/>
            <a:gd name="T7" fmla="*/ 371 h 398"/>
            <a:gd name="T8" fmla="*/ 3 w 3"/>
            <a:gd name="T9" fmla="*/ 381 h 398"/>
            <a:gd name="T10" fmla="*/ 3 w 3"/>
            <a:gd name="T11" fmla="*/ 354 h 398"/>
            <a:gd name="T12" fmla="*/ 0 w 3"/>
            <a:gd name="T13" fmla="*/ 364 h 398"/>
            <a:gd name="T14" fmla="*/ 3 w 3"/>
            <a:gd name="T15" fmla="*/ 346 h 398"/>
            <a:gd name="T16" fmla="*/ 0 w 3"/>
            <a:gd name="T17" fmla="*/ 337 h 398"/>
            <a:gd name="T18" fmla="*/ 3 w 3"/>
            <a:gd name="T19" fmla="*/ 346 h 398"/>
            <a:gd name="T20" fmla="*/ 3 w 3"/>
            <a:gd name="T21" fmla="*/ 319 h 398"/>
            <a:gd name="T22" fmla="*/ 0 w 3"/>
            <a:gd name="T23" fmla="*/ 329 h 398"/>
            <a:gd name="T24" fmla="*/ 3 w 3"/>
            <a:gd name="T25" fmla="*/ 312 h 398"/>
            <a:gd name="T26" fmla="*/ 0 w 3"/>
            <a:gd name="T27" fmla="*/ 302 h 398"/>
            <a:gd name="T28" fmla="*/ 3 w 3"/>
            <a:gd name="T29" fmla="*/ 312 h 398"/>
            <a:gd name="T30" fmla="*/ 3 w 3"/>
            <a:gd name="T31" fmla="*/ 285 h 398"/>
            <a:gd name="T32" fmla="*/ 0 w 3"/>
            <a:gd name="T33" fmla="*/ 295 h 398"/>
            <a:gd name="T34" fmla="*/ 3 w 3"/>
            <a:gd name="T35" fmla="*/ 277 h 398"/>
            <a:gd name="T36" fmla="*/ 0 w 3"/>
            <a:gd name="T37" fmla="*/ 267 h 398"/>
            <a:gd name="T38" fmla="*/ 3 w 3"/>
            <a:gd name="T39" fmla="*/ 277 h 398"/>
            <a:gd name="T40" fmla="*/ 3 w 3"/>
            <a:gd name="T41" fmla="*/ 250 h 398"/>
            <a:gd name="T42" fmla="*/ 0 w 3"/>
            <a:gd name="T43" fmla="*/ 260 h 398"/>
            <a:gd name="T44" fmla="*/ 3 w 3"/>
            <a:gd name="T45" fmla="*/ 243 h 398"/>
            <a:gd name="T46" fmla="*/ 0 w 3"/>
            <a:gd name="T47" fmla="*/ 233 h 398"/>
            <a:gd name="T48" fmla="*/ 3 w 3"/>
            <a:gd name="T49" fmla="*/ 243 h 398"/>
            <a:gd name="T50" fmla="*/ 3 w 3"/>
            <a:gd name="T51" fmla="*/ 216 h 398"/>
            <a:gd name="T52" fmla="*/ 0 w 3"/>
            <a:gd name="T53" fmla="*/ 226 h 398"/>
            <a:gd name="T54" fmla="*/ 3 w 3"/>
            <a:gd name="T55" fmla="*/ 208 h 398"/>
            <a:gd name="T56" fmla="*/ 0 w 3"/>
            <a:gd name="T57" fmla="*/ 198 h 398"/>
            <a:gd name="T58" fmla="*/ 3 w 3"/>
            <a:gd name="T59" fmla="*/ 208 h 398"/>
            <a:gd name="T60" fmla="*/ 3 w 3"/>
            <a:gd name="T61" fmla="*/ 181 h 398"/>
            <a:gd name="T62" fmla="*/ 0 w 3"/>
            <a:gd name="T63" fmla="*/ 191 h 398"/>
            <a:gd name="T64" fmla="*/ 3 w 3"/>
            <a:gd name="T65" fmla="*/ 174 h 398"/>
            <a:gd name="T66" fmla="*/ 0 w 3"/>
            <a:gd name="T67" fmla="*/ 164 h 398"/>
            <a:gd name="T68" fmla="*/ 3 w 3"/>
            <a:gd name="T69" fmla="*/ 174 h 398"/>
            <a:gd name="T70" fmla="*/ 3 w 3"/>
            <a:gd name="T71" fmla="*/ 147 h 398"/>
            <a:gd name="T72" fmla="*/ 0 w 3"/>
            <a:gd name="T73" fmla="*/ 156 h 398"/>
            <a:gd name="T74" fmla="*/ 3 w 3"/>
            <a:gd name="T75" fmla="*/ 139 h 398"/>
            <a:gd name="T76" fmla="*/ 0 w 3"/>
            <a:gd name="T77" fmla="*/ 129 h 398"/>
            <a:gd name="T78" fmla="*/ 3 w 3"/>
            <a:gd name="T79" fmla="*/ 139 h 398"/>
            <a:gd name="T80" fmla="*/ 3 w 3"/>
            <a:gd name="T81" fmla="*/ 112 h 398"/>
            <a:gd name="T82" fmla="*/ 0 w 3"/>
            <a:gd name="T83" fmla="*/ 122 h 398"/>
            <a:gd name="T84" fmla="*/ 3 w 3"/>
            <a:gd name="T85" fmla="*/ 105 h 398"/>
            <a:gd name="T86" fmla="*/ 0 w 3"/>
            <a:gd name="T87" fmla="*/ 95 h 398"/>
            <a:gd name="T88" fmla="*/ 3 w 3"/>
            <a:gd name="T89" fmla="*/ 105 h 398"/>
            <a:gd name="T90" fmla="*/ 3 w 3"/>
            <a:gd name="T91" fmla="*/ 78 h 398"/>
            <a:gd name="T92" fmla="*/ 0 w 3"/>
            <a:gd name="T93" fmla="*/ 87 h 398"/>
            <a:gd name="T94" fmla="*/ 3 w 3"/>
            <a:gd name="T95" fmla="*/ 70 h 398"/>
            <a:gd name="T96" fmla="*/ 0 w 3"/>
            <a:gd name="T97" fmla="*/ 60 h 398"/>
            <a:gd name="T98" fmla="*/ 3 w 3"/>
            <a:gd name="T99" fmla="*/ 70 h 398"/>
            <a:gd name="T100" fmla="*/ 3 w 3"/>
            <a:gd name="T101" fmla="*/ 43 h 398"/>
            <a:gd name="T102" fmla="*/ 0 w 3"/>
            <a:gd name="T103" fmla="*/ 53 h 398"/>
            <a:gd name="T104" fmla="*/ 3 w 3"/>
            <a:gd name="T105" fmla="*/ 36 h 398"/>
            <a:gd name="T106" fmla="*/ 0 w 3"/>
            <a:gd name="T107" fmla="*/ 26 h 398"/>
            <a:gd name="T108" fmla="*/ 3 w 3"/>
            <a:gd name="T109" fmla="*/ 36 h 398"/>
            <a:gd name="T110" fmla="*/ 3 w 3"/>
            <a:gd name="T111" fmla="*/ 8 h 398"/>
            <a:gd name="T112" fmla="*/ 0 w 3"/>
            <a:gd name="T113" fmla="*/ 18 h 398"/>
            <a:gd name="T114" fmla="*/ 3 w 3"/>
            <a:gd name="T115" fmla="*/ 1 h 398"/>
            <a:gd name="T116" fmla="*/ 0 w 3"/>
            <a:gd name="T117" fmla="*/ 0 h 398"/>
            <a:gd name="T118" fmla="*/ 3 w 3"/>
            <a:gd name="T119" fmla="*/ 1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3" h="398">
              <a:moveTo>
                <a:pt x="3" y="398"/>
              </a:moveTo>
              <a:lnTo>
                <a:pt x="3" y="388"/>
              </a:lnTo>
              <a:lnTo>
                <a:pt x="0" y="388"/>
              </a:lnTo>
              <a:lnTo>
                <a:pt x="0" y="398"/>
              </a:lnTo>
              <a:lnTo>
                <a:pt x="3" y="398"/>
              </a:lnTo>
              <a:close/>
              <a:moveTo>
                <a:pt x="3" y="381"/>
              </a:moveTo>
              <a:lnTo>
                <a:pt x="3" y="371"/>
              </a:lnTo>
              <a:lnTo>
                <a:pt x="0" y="371"/>
              </a:lnTo>
              <a:lnTo>
                <a:pt x="0" y="381"/>
              </a:lnTo>
              <a:lnTo>
                <a:pt x="3" y="381"/>
              </a:lnTo>
              <a:close/>
              <a:moveTo>
                <a:pt x="3" y="364"/>
              </a:moveTo>
              <a:lnTo>
                <a:pt x="3" y="354"/>
              </a:lnTo>
              <a:lnTo>
                <a:pt x="0" y="354"/>
              </a:lnTo>
              <a:lnTo>
                <a:pt x="0" y="364"/>
              </a:lnTo>
              <a:lnTo>
                <a:pt x="3" y="364"/>
              </a:lnTo>
              <a:close/>
              <a:moveTo>
                <a:pt x="3" y="346"/>
              </a:moveTo>
              <a:lnTo>
                <a:pt x="3" y="337"/>
              </a:lnTo>
              <a:lnTo>
                <a:pt x="0" y="337"/>
              </a:lnTo>
              <a:lnTo>
                <a:pt x="0" y="346"/>
              </a:lnTo>
              <a:lnTo>
                <a:pt x="3" y="346"/>
              </a:lnTo>
              <a:close/>
              <a:moveTo>
                <a:pt x="3" y="329"/>
              </a:moveTo>
              <a:lnTo>
                <a:pt x="3" y="319"/>
              </a:lnTo>
              <a:lnTo>
                <a:pt x="0" y="319"/>
              </a:lnTo>
              <a:lnTo>
                <a:pt x="0" y="329"/>
              </a:lnTo>
              <a:lnTo>
                <a:pt x="3" y="329"/>
              </a:lnTo>
              <a:close/>
              <a:moveTo>
                <a:pt x="3" y="312"/>
              </a:moveTo>
              <a:lnTo>
                <a:pt x="3" y="302"/>
              </a:lnTo>
              <a:lnTo>
                <a:pt x="0" y="302"/>
              </a:lnTo>
              <a:lnTo>
                <a:pt x="0" y="312"/>
              </a:lnTo>
              <a:lnTo>
                <a:pt x="3" y="312"/>
              </a:lnTo>
              <a:close/>
              <a:moveTo>
                <a:pt x="3" y="295"/>
              </a:moveTo>
              <a:lnTo>
                <a:pt x="3" y="285"/>
              </a:lnTo>
              <a:lnTo>
                <a:pt x="0" y="285"/>
              </a:lnTo>
              <a:lnTo>
                <a:pt x="0" y="295"/>
              </a:lnTo>
              <a:lnTo>
                <a:pt x="3" y="295"/>
              </a:lnTo>
              <a:close/>
              <a:moveTo>
                <a:pt x="3" y="277"/>
              </a:moveTo>
              <a:lnTo>
                <a:pt x="3" y="267"/>
              </a:lnTo>
              <a:lnTo>
                <a:pt x="0" y="267"/>
              </a:lnTo>
              <a:lnTo>
                <a:pt x="0" y="277"/>
              </a:lnTo>
              <a:lnTo>
                <a:pt x="3" y="277"/>
              </a:lnTo>
              <a:close/>
              <a:moveTo>
                <a:pt x="3" y="260"/>
              </a:moveTo>
              <a:lnTo>
                <a:pt x="3" y="250"/>
              </a:lnTo>
              <a:lnTo>
                <a:pt x="0" y="250"/>
              </a:lnTo>
              <a:lnTo>
                <a:pt x="0" y="260"/>
              </a:lnTo>
              <a:lnTo>
                <a:pt x="3" y="260"/>
              </a:lnTo>
              <a:close/>
              <a:moveTo>
                <a:pt x="3" y="243"/>
              </a:moveTo>
              <a:lnTo>
                <a:pt x="3" y="233"/>
              </a:lnTo>
              <a:lnTo>
                <a:pt x="0" y="233"/>
              </a:lnTo>
              <a:lnTo>
                <a:pt x="0" y="243"/>
              </a:lnTo>
              <a:lnTo>
                <a:pt x="3" y="243"/>
              </a:lnTo>
              <a:close/>
              <a:moveTo>
                <a:pt x="3" y="226"/>
              </a:moveTo>
              <a:lnTo>
                <a:pt x="3" y="216"/>
              </a:lnTo>
              <a:lnTo>
                <a:pt x="0" y="216"/>
              </a:lnTo>
              <a:lnTo>
                <a:pt x="0" y="226"/>
              </a:lnTo>
              <a:lnTo>
                <a:pt x="3" y="226"/>
              </a:lnTo>
              <a:close/>
              <a:moveTo>
                <a:pt x="3" y="208"/>
              </a:moveTo>
              <a:lnTo>
                <a:pt x="3" y="198"/>
              </a:lnTo>
              <a:lnTo>
                <a:pt x="0" y="198"/>
              </a:lnTo>
              <a:lnTo>
                <a:pt x="0" y="208"/>
              </a:lnTo>
              <a:lnTo>
                <a:pt x="3" y="208"/>
              </a:lnTo>
              <a:close/>
              <a:moveTo>
                <a:pt x="3" y="191"/>
              </a:moveTo>
              <a:lnTo>
                <a:pt x="3" y="181"/>
              </a:lnTo>
              <a:lnTo>
                <a:pt x="0" y="181"/>
              </a:lnTo>
              <a:lnTo>
                <a:pt x="0" y="191"/>
              </a:lnTo>
              <a:lnTo>
                <a:pt x="3" y="191"/>
              </a:lnTo>
              <a:close/>
              <a:moveTo>
                <a:pt x="3" y="174"/>
              </a:moveTo>
              <a:lnTo>
                <a:pt x="3" y="164"/>
              </a:lnTo>
              <a:lnTo>
                <a:pt x="0" y="164"/>
              </a:lnTo>
              <a:lnTo>
                <a:pt x="0" y="174"/>
              </a:lnTo>
              <a:lnTo>
                <a:pt x="3" y="174"/>
              </a:lnTo>
              <a:close/>
              <a:moveTo>
                <a:pt x="3" y="156"/>
              </a:moveTo>
              <a:lnTo>
                <a:pt x="3" y="147"/>
              </a:lnTo>
              <a:lnTo>
                <a:pt x="0" y="147"/>
              </a:lnTo>
              <a:lnTo>
                <a:pt x="0" y="156"/>
              </a:lnTo>
              <a:lnTo>
                <a:pt x="3" y="156"/>
              </a:lnTo>
              <a:close/>
              <a:moveTo>
                <a:pt x="3" y="139"/>
              </a:moveTo>
              <a:lnTo>
                <a:pt x="3" y="129"/>
              </a:lnTo>
              <a:lnTo>
                <a:pt x="0" y="129"/>
              </a:lnTo>
              <a:lnTo>
                <a:pt x="0" y="139"/>
              </a:lnTo>
              <a:lnTo>
                <a:pt x="3" y="139"/>
              </a:lnTo>
              <a:close/>
              <a:moveTo>
                <a:pt x="3" y="122"/>
              </a:moveTo>
              <a:lnTo>
                <a:pt x="3" y="112"/>
              </a:lnTo>
              <a:lnTo>
                <a:pt x="0" y="112"/>
              </a:lnTo>
              <a:lnTo>
                <a:pt x="0" y="122"/>
              </a:lnTo>
              <a:lnTo>
                <a:pt x="3" y="122"/>
              </a:lnTo>
              <a:close/>
              <a:moveTo>
                <a:pt x="3" y="105"/>
              </a:moveTo>
              <a:lnTo>
                <a:pt x="3" y="95"/>
              </a:lnTo>
              <a:lnTo>
                <a:pt x="0" y="95"/>
              </a:lnTo>
              <a:lnTo>
                <a:pt x="0" y="105"/>
              </a:lnTo>
              <a:lnTo>
                <a:pt x="3" y="105"/>
              </a:lnTo>
              <a:close/>
              <a:moveTo>
                <a:pt x="3" y="87"/>
              </a:moveTo>
              <a:lnTo>
                <a:pt x="3" y="78"/>
              </a:lnTo>
              <a:lnTo>
                <a:pt x="0" y="78"/>
              </a:lnTo>
              <a:lnTo>
                <a:pt x="0" y="87"/>
              </a:lnTo>
              <a:lnTo>
                <a:pt x="3" y="87"/>
              </a:lnTo>
              <a:close/>
              <a:moveTo>
                <a:pt x="3" y="70"/>
              </a:moveTo>
              <a:lnTo>
                <a:pt x="3" y="60"/>
              </a:lnTo>
              <a:lnTo>
                <a:pt x="0" y="60"/>
              </a:lnTo>
              <a:lnTo>
                <a:pt x="0" y="70"/>
              </a:lnTo>
              <a:lnTo>
                <a:pt x="3" y="70"/>
              </a:lnTo>
              <a:close/>
              <a:moveTo>
                <a:pt x="3" y="53"/>
              </a:moveTo>
              <a:lnTo>
                <a:pt x="3" y="43"/>
              </a:lnTo>
              <a:lnTo>
                <a:pt x="0" y="43"/>
              </a:lnTo>
              <a:lnTo>
                <a:pt x="0" y="53"/>
              </a:lnTo>
              <a:lnTo>
                <a:pt x="3" y="53"/>
              </a:lnTo>
              <a:close/>
              <a:moveTo>
                <a:pt x="3" y="36"/>
              </a:moveTo>
              <a:lnTo>
                <a:pt x="3" y="26"/>
              </a:lnTo>
              <a:lnTo>
                <a:pt x="0" y="26"/>
              </a:lnTo>
              <a:lnTo>
                <a:pt x="0" y="36"/>
              </a:lnTo>
              <a:lnTo>
                <a:pt x="3" y="36"/>
              </a:lnTo>
              <a:close/>
              <a:moveTo>
                <a:pt x="3" y="18"/>
              </a:moveTo>
              <a:lnTo>
                <a:pt x="3" y="8"/>
              </a:lnTo>
              <a:lnTo>
                <a:pt x="0" y="8"/>
              </a:lnTo>
              <a:lnTo>
                <a:pt x="0" y="18"/>
              </a:lnTo>
              <a:lnTo>
                <a:pt x="3" y="18"/>
              </a:lnTo>
              <a:close/>
              <a:moveTo>
                <a:pt x="3" y="1"/>
              </a:moveTo>
              <a:lnTo>
                <a:pt x="3" y="0"/>
              </a:lnTo>
              <a:lnTo>
                <a:pt x="0" y="0"/>
              </a:lnTo>
              <a:lnTo>
                <a:pt x="0" y="1"/>
              </a:lnTo>
              <a:lnTo>
                <a:pt x="3" y="1"/>
              </a:lnTo>
              <a:close/>
            </a:path>
          </a:pathLst>
        </a:custGeom>
        <a:solidFill>
          <a:srgbClr val="FF0000"/>
        </a:solidFill>
        <a:ln w="0" cap="flat">
          <a:solidFill>
            <a:srgbClr val="FF0000"/>
          </a:solidFill>
          <a:prstDash val="solid"/>
          <a:round/>
          <a:headEnd/>
          <a:tailEnd/>
        </a:ln>
      </xdr:spPr>
    </xdr:sp>
    <xdr:clientData/>
  </xdr:twoCellAnchor>
  <xdr:twoCellAnchor>
    <xdr:from>
      <xdr:col>1</xdr:col>
      <xdr:colOff>1943100</xdr:colOff>
      <xdr:row>19</xdr:row>
      <xdr:rowOff>95811</xdr:rowOff>
    </xdr:from>
    <xdr:to>
      <xdr:col>2</xdr:col>
      <xdr:colOff>470647</xdr:colOff>
      <xdr:row>20</xdr:row>
      <xdr:rowOff>0</xdr:rowOff>
    </xdr:to>
    <xdr:sp macro="" textlink="">
      <xdr:nvSpPr>
        <xdr:cNvPr id="375" name="Rectangle 302">
          <a:extLst>
            <a:ext uri="{FF2B5EF4-FFF2-40B4-BE49-F238E27FC236}">
              <a16:creationId xmlns:a16="http://schemas.microsoft.com/office/drawing/2014/main" id="{00000000-0008-0000-0100-000077010000}"/>
            </a:ext>
          </a:extLst>
        </xdr:cNvPr>
        <xdr:cNvSpPr>
          <a:spLocks noChangeArrowheads="1"/>
        </xdr:cNvSpPr>
      </xdr:nvSpPr>
      <xdr:spPr bwMode="auto">
        <a:xfrm>
          <a:off x="2279276" y="4824693"/>
          <a:ext cx="914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nl-NL" sz="1000" b="0" i="0" u="none" strike="noStrike" baseline="0">
              <a:solidFill>
                <a:srgbClr val="000000"/>
              </a:solidFill>
              <a:latin typeface="MetaNormalLF-Roman"/>
            </a:rPr>
            <a:t>-&gt; Elektriciteitsprijs</a:t>
          </a:r>
        </a:p>
      </xdr:txBody>
    </xdr:sp>
    <xdr:clientData/>
  </xdr:twoCellAnchor>
  <xdr:twoCellAnchor>
    <xdr:from>
      <xdr:col>4</xdr:col>
      <xdr:colOff>632011</xdr:colOff>
      <xdr:row>8</xdr:row>
      <xdr:rowOff>84604</xdr:rowOff>
    </xdr:from>
    <xdr:to>
      <xdr:col>6</xdr:col>
      <xdr:colOff>74519</xdr:colOff>
      <xdr:row>8</xdr:row>
      <xdr:rowOff>237004</xdr:rowOff>
    </xdr:to>
    <xdr:sp macro="" textlink="">
      <xdr:nvSpPr>
        <xdr:cNvPr id="377" name="Rectangle 355">
          <a:extLst>
            <a:ext uri="{FF2B5EF4-FFF2-40B4-BE49-F238E27FC236}">
              <a16:creationId xmlns:a16="http://schemas.microsoft.com/office/drawing/2014/main" id="{00000000-0008-0000-0100-000079010000}"/>
            </a:ext>
          </a:extLst>
        </xdr:cNvPr>
        <xdr:cNvSpPr>
          <a:spLocks noChangeArrowheads="1"/>
        </xdr:cNvSpPr>
      </xdr:nvSpPr>
      <xdr:spPr bwMode="auto">
        <a:xfrm>
          <a:off x="5035923" y="1978398"/>
          <a:ext cx="1190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nl-NL" sz="1000" b="0" i="0" u="none" strike="noStrike" baseline="0">
              <a:solidFill>
                <a:srgbClr val="000000"/>
              </a:solidFill>
              <a:latin typeface="MetaNormalLF-Roman"/>
            </a:rPr>
            <a:t>&gt; Aanvoertemperatuur</a:t>
          </a:r>
        </a:p>
      </xdr:txBody>
    </xdr:sp>
    <xdr:clientData/>
  </xdr:twoCellAnchor>
  <xdr:twoCellAnchor editAs="oneCell">
    <xdr:from>
      <xdr:col>7</xdr:col>
      <xdr:colOff>1266265</xdr:colOff>
      <xdr:row>1</xdr:row>
      <xdr:rowOff>44824</xdr:rowOff>
    </xdr:from>
    <xdr:to>
      <xdr:col>9</xdr:col>
      <xdr:colOff>582704</xdr:colOff>
      <xdr:row>3</xdr:row>
      <xdr:rowOff>150973</xdr:rowOff>
    </xdr:to>
    <xdr:pic>
      <xdr:nvPicPr>
        <xdr:cNvPr id="374" name="Picture 373">
          <a:extLst>
            <a:ext uri="{FF2B5EF4-FFF2-40B4-BE49-F238E27FC236}">
              <a16:creationId xmlns:a16="http://schemas.microsoft.com/office/drawing/2014/main" id="{00000000-0008-0000-0100-000076010000}"/>
            </a:ext>
          </a:extLst>
        </xdr:cNvPr>
        <xdr:cNvPicPr>
          <a:picLocks noChangeAspect="1"/>
        </xdr:cNvPicPr>
      </xdr:nvPicPr>
      <xdr:blipFill>
        <a:blip xmlns:r="http://schemas.openxmlformats.org/officeDocument/2006/relationships" r:embed="rId11"/>
        <a:stretch>
          <a:fillRect/>
        </a:stretch>
      </xdr:blipFill>
      <xdr:spPr>
        <a:xfrm>
          <a:off x="7631206" y="302559"/>
          <a:ext cx="2297204" cy="5095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85726</xdr:colOff>
      <xdr:row>1</xdr:row>
      <xdr:rowOff>120803</xdr:rowOff>
    </xdr:from>
    <xdr:to>
      <xdr:col>1</xdr:col>
      <xdr:colOff>1838326</xdr:colOff>
      <xdr:row>3</xdr:row>
      <xdr:rowOff>109511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19101" y="282728"/>
          <a:ext cx="1752600" cy="388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52917</xdr:colOff>
      <xdr:row>1</xdr:row>
      <xdr:rowOff>81148</xdr:rowOff>
    </xdr:from>
    <xdr:to>
      <xdr:col>1</xdr:col>
      <xdr:colOff>2032000</xdr:colOff>
      <xdr:row>3</xdr:row>
      <xdr:rowOff>117977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91584" y="239898"/>
          <a:ext cx="1979083" cy="4389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100854</xdr:colOff>
      <xdr:row>1</xdr:row>
      <xdr:rowOff>98204</xdr:rowOff>
    </xdr:from>
    <xdr:to>
      <xdr:col>1</xdr:col>
      <xdr:colOff>2005853</xdr:colOff>
      <xdr:row>3</xdr:row>
      <xdr:rowOff>117355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37030" y="255086"/>
          <a:ext cx="1904999" cy="4225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59532</xdr:colOff>
      <xdr:row>1</xdr:row>
      <xdr:rowOff>95249</xdr:rowOff>
    </xdr:from>
    <xdr:to>
      <xdr:col>1</xdr:col>
      <xdr:colOff>1873655</xdr:colOff>
      <xdr:row>3</xdr:row>
      <xdr:rowOff>92842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92907" y="261937"/>
          <a:ext cx="1814123" cy="402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chniplan.sharepoint.com/Documents%20and%20Settings/RY/Local%20Settings/Temporary%20Internet%20Files/Content.Outlook/UAPOOO7Z/Externe%20Projecten/CPH-202/(%20P%20)%20Berekeningen%20TPA/(2)%20VO/CPH-202W2-P-RY00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lektro%20en%20Wtb\Standaard\Berekeningen-W\Leiding-bereken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chniplan.sharepoint.com/Externe%20Projecten/RGD-109/MSO-WKO%20rekentool/Software/MSO_WKO_Simulatie_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eschema"/>
      <sheetName val="1"/>
      <sheetName val="LT Warmte"/>
      <sheetName val="GKW"/>
      <sheetName val="HT Warmte"/>
      <sheetName val="Tabel"/>
      <sheetName val="LT Warmte (meterkast)"/>
      <sheetName val="GKW (meterkast)"/>
      <sheetName val="HT Warmte (meterkast)"/>
      <sheetName val="Leidingne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DINGBEREKENING"/>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eschema"/>
      <sheetName val="Data"/>
      <sheetName val="STlijn"/>
      <sheetName val="bibliotheek"/>
      <sheetName val="Logboek"/>
      <sheetName val="stooklijn model"/>
      <sheetName val="TSA"/>
      <sheetName val="Regeneratie2"/>
      <sheetName val="Testblad"/>
    </sheetNames>
    <sheetDataSet>
      <sheetData sheetId="0"/>
      <sheetData sheetId="1"/>
      <sheetData sheetId="2" refreshError="1"/>
      <sheetData sheetId="3"/>
      <sheetData sheetId="4" refreshError="1"/>
      <sheetData sheetId="5" refreshError="1"/>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9252-95F9-42F9-88BF-637DD6AABE35}">
  <sheetPr codeName="Blad1">
    <tabColor theme="8" tint="0.79998168889431442"/>
  </sheetPr>
  <dimension ref="B1:AY34"/>
  <sheetViews>
    <sheetView zoomScale="85" zoomScaleNormal="85" workbookViewId="0">
      <selection activeCell="N10" sqref="N10"/>
    </sheetView>
  </sheetViews>
  <sheetFormatPr defaultRowHeight="15"/>
  <cols>
    <col min="1" max="1" width="5" customWidth="1"/>
    <col min="2" max="2" width="32.42578125" customWidth="1"/>
    <col min="3" max="3" width="102.140625" customWidth="1"/>
    <col min="4" max="4" width="25.140625" style="65" customWidth="1"/>
  </cols>
  <sheetData>
    <row r="1" spans="2:51">
      <c r="B1" s="4"/>
      <c r="D1" s="139"/>
    </row>
    <row r="2" spans="2:51" s="65" customFormat="1" ht="15.75">
      <c r="B2" s="61" t="s">
        <v>0</v>
      </c>
      <c r="C2" s="1" t="s">
        <v>1</v>
      </c>
      <c r="D2" s="134"/>
      <c r="E2" s="80"/>
      <c r="F2" s="80"/>
      <c r="G2" s="80"/>
      <c r="H2" s="80"/>
      <c r="I2" s="80"/>
      <c r="J2" s="80"/>
      <c r="K2" s="80"/>
      <c r="L2" s="80"/>
      <c r="M2" s="80"/>
      <c r="N2" s="80"/>
      <c r="O2" s="80"/>
      <c r="P2" s="80"/>
      <c r="Q2" s="80"/>
      <c r="R2" s="80"/>
      <c r="S2" s="80"/>
      <c r="T2" s="80"/>
      <c r="U2" s="80"/>
      <c r="V2" s="80"/>
      <c r="W2" s="80"/>
      <c r="X2" s="80"/>
      <c r="Y2" s="80"/>
      <c r="Z2" s="80"/>
      <c r="AA2" s="80"/>
      <c r="AB2" s="139"/>
      <c r="AC2" s="140"/>
      <c r="AD2" s="140"/>
      <c r="AE2" s="140"/>
      <c r="AF2" s="140"/>
      <c r="AG2" s="140"/>
      <c r="AH2" s="140"/>
      <c r="AI2" s="140"/>
      <c r="AJ2" s="140"/>
      <c r="AK2" s="140"/>
      <c r="AL2" s="140"/>
      <c r="AM2" s="140"/>
      <c r="AN2" s="140"/>
      <c r="AO2" s="140"/>
      <c r="AP2" s="140"/>
      <c r="AQ2" s="140"/>
      <c r="AR2" s="140"/>
      <c r="AS2" s="140"/>
      <c r="AT2" s="140"/>
      <c r="AU2" s="140"/>
      <c r="AV2" s="140"/>
      <c r="AW2" s="140"/>
      <c r="AX2" s="140"/>
      <c r="AY2" s="140"/>
    </row>
    <row r="3" spans="2:51" s="65" customFormat="1" ht="15.75">
      <c r="B3" s="62" t="s">
        <v>2</v>
      </c>
      <c r="C3" s="2" t="s">
        <v>3</v>
      </c>
      <c r="D3" s="135"/>
      <c r="E3" s="81"/>
      <c r="F3" s="81"/>
      <c r="G3" s="81"/>
      <c r="H3" s="81"/>
      <c r="I3" s="81"/>
      <c r="J3" s="81"/>
      <c r="K3" s="81"/>
      <c r="L3" s="81"/>
      <c r="M3" s="81"/>
      <c r="N3" s="81"/>
      <c r="O3" s="81"/>
      <c r="P3" s="81"/>
      <c r="Q3" s="81"/>
      <c r="R3" s="81"/>
      <c r="S3" s="81"/>
      <c r="T3" s="81"/>
      <c r="U3" s="81"/>
      <c r="V3" s="81"/>
      <c r="W3" s="81"/>
      <c r="X3" s="81"/>
      <c r="Y3" s="81"/>
      <c r="Z3" s="81"/>
      <c r="AA3" s="81"/>
      <c r="AB3" s="139"/>
      <c r="AC3" s="140"/>
      <c r="AD3" s="140"/>
      <c r="AE3" s="140"/>
      <c r="AF3" s="140"/>
      <c r="AG3" s="140"/>
      <c r="AH3" s="140"/>
      <c r="AI3" s="140"/>
      <c r="AJ3" s="140"/>
      <c r="AK3" s="140"/>
      <c r="AL3" s="140"/>
      <c r="AM3" s="140"/>
      <c r="AN3" s="140"/>
      <c r="AO3" s="140"/>
      <c r="AP3" s="140"/>
      <c r="AQ3" s="140"/>
      <c r="AR3" s="140"/>
      <c r="AS3" s="140"/>
      <c r="AT3" s="140"/>
      <c r="AU3" s="140"/>
      <c r="AV3" s="140"/>
      <c r="AW3" s="140"/>
      <c r="AX3" s="140"/>
      <c r="AY3" s="140"/>
    </row>
    <row r="4" spans="2:51" s="65" customFormat="1">
      <c r="B4" s="63" t="s">
        <v>4</v>
      </c>
      <c r="C4" s="3" t="s">
        <v>5</v>
      </c>
      <c r="D4" s="136"/>
      <c r="E4" s="81"/>
      <c r="F4" s="81"/>
      <c r="G4" s="81"/>
      <c r="H4" s="81"/>
      <c r="I4" s="81"/>
      <c r="J4" s="81"/>
      <c r="K4" s="81"/>
      <c r="L4" s="81"/>
      <c r="M4" s="81"/>
      <c r="N4" s="81"/>
      <c r="O4" s="81"/>
      <c r="P4" s="81"/>
      <c r="Q4" s="81"/>
      <c r="R4" s="81"/>
      <c r="S4" s="81"/>
      <c r="T4" s="81"/>
      <c r="U4" s="81"/>
      <c r="V4" s="81"/>
      <c r="W4" s="81"/>
      <c r="X4" s="81"/>
      <c r="Y4" s="81"/>
      <c r="Z4" s="81"/>
      <c r="AA4" s="81"/>
      <c r="AB4" s="139"/>
      <c r="AC4" s="140"/>
      <c r="AD4" s="140"/>
      <c r="AE4" s="140"/>
      <c r="AF4" s="140"/>
      <c r="AG4" s="140"/>
      <c r="AH4" s="140"/>
      <c r="AI4" s="140"/>
      <c r="AJ4" s="140"/>
      <c r="AK4" s="140"/>
      <c r="AL4" s="140"/>
      <c r="AM4" s="140"/>
      <c r="AN4" s="140"/>
      <c r="AO4" s="140"/>
      <c r="AP4" s="140"/>
      <c r="AQ4" s="140"/>
      <c r="AR4" s="140"/>
      <c r="AS4" s="140"/>
      <c r="AT4" s="140"/>
      <c r="AU4" s="140"/>
      <c r="AV4" s="140"/>
      <c r="AW4" s="140"/>
      <c r="AX4" s="140"/>
      <c r="AY4" s="140"/>
    </row>
    <row r="6" spans="2:51" ht="83.25" customHeight="1">
      <c r="B6" s="226" t="s">
        <v>268</v>
      </c>
      <c r="C6" s="226"/>
      <c r="D6" s="139"/>
    </row>
    <row r="7" spans="2:51" ht="83.25" customHeight="1">
      <c r="B7" s="229" t="s">
        <v>263</v>
      </c>
      <c r="C7" s="226"/>
      <c r="D7" s="139"/>
    </row>
    <row r="9" spans="2:51" s="4" customFormat="1">
      <c r="B9" s="14" t="s">
        <v>6</v>
      </c>
      <c r="C9" s="14"/>
      <c r="D9" s="112" t="s">
        <v>7</v>
      </c>
    </row>
    <row r="10" spans="2:51">
      <c r="B10" s="141"/>
      <c r="C10" s="141"/>
      <c r="D10" s="139"/>
    </row>
    <row r="11" spans="2:51" ht="44.25" customHeight="1">
      <c r="B11" s="227" t="s">
        <v>266</v>
      </c>
      <c r="C11" s="225"/>
      <c r="D11" s="115" t="s">
        <v>8</v>
      </c>
    </row>
    <row r="12" spans="2:51">
      <c r="B12" s="141"/>
      <c r="C12" s="141"/>
      <c r="D12" s="139"/>
    </row>
    <row r="13" spans="2:51" s="4" customFormat="1">
      <c r="B13" s="111" t="s">
        <v>9</v>
      </c>
      <c r="C13" s="111"/>
      <c r="D13" s="113"/>
    </row>
    <row r="14" spans="2:51">
      <c r="B14" s="141"/>
      <c r="C14" s="141"/>
      <c r="D14" s="139"/>
    </row>
    <row r="15" spans="2:51" ht="79.5" customHeight="1">
      <c r="B15" s="228" t="s">
        <v>267</v>
      </c>
      <c r="C15" s="225"/>
      <c r="D15" s="115" t="s">
        <v>10</v>
      </c>
    </row>
    <row r="16" spans="2:51">
      <c r="B16" s="141"/>
      <c r="C16" s="141"/>
      <c r="D16" s="139"/>
    </row>
    <row r="17" spans="2:4" s="4" customFormat="1">
      <c r="B17" s="14" t="s">
        <v>11</v>
      </c>
      <c r="C17" s="14"/>
      <c r="D17" s="112"/>
    </row>
    <row r="18" spans="2:4">
      <c r="B18" s="141"/>
      <c r="C18" s="141"/>
      <c r="D18" s="139"/>
    </row>
    <row r="19" spans="2:4" ht="45" customHeight="1">
      <c r="B19" s="227" t="s">
        <v>12</v>
      </c>
      <c r="C19" s="225"/>
      <c r="D19" s="115" t="s">
        <v>13</v>
      </c>
    </row>
    <row r="20" spans="2:4">
      <c r="B20" s="141"/>
      <c r="C20" s="141"/>
      <c r="D20" s="139"/>
    </row>
    <row r="21" spans="2:4" s="4" customFormat="1">
      <c r="B21" s="111" t="s">
        <v>14</v>
      </c>
      <c r="C21" s="111"/>
      <c r="D21" s="113"/>
    </row>
    <row r="22" spans="2:4">
      <c r="B22" s="141"/>
      <c r="C22" s="141"/>
      <c r="D22" s="139"/>
    </row>
    <row r="23" spans="2:4" ht="40.5" customHeight="1">
      <c r="B23" s="227" t="s">
        <v>265</v>
      </c>
      <c r="C23" s="225"/>
      <c r="D23" s="115" t="s">
        <v>15</v>
      </c>
    </row>
    <row r="24" spans="2:4">
      <c r="B24" s="141"/>
      <c r="C24" s="141"/>
      <c r="D24" s="139"/>
    </row>
    <row r="25" spans="2:4" s="4" customFormat="1">
      <c r="B25" s="14" t="s">
        <v>16</v>
      </c>
      <c r="C25" s="14"/>
      <c r="D25" s="112"/>
    </row>
    <row r="26" spans="2:4">
      <c r="B26" s="141"/>
      <c r="C26" s="141"/>
      <c r="D26" s="139"/>
    </row>
    <row r="27" spans="2:4" ht="56.1" customHeight="1">
      <c r="B27" s="225" t="s">
        <v>17</v>
      </c>
      <c r="C27" s="225"/>
      <c r="D27" s="115" t="s">
        <v>18</v>
      </c>
    </row>
    <row r="28" spans="2:4">
      <c r="B28" s="141"/>
      <c r="C28" s="141"/>
      <c r="D28" s="139"/>
    </row>
    <row r="29" spans="2:4">
      <c r="B29" s="141"/>
      <c r="C29" s="141"/>
      <c r="D29" s="139"/>
    </row>
    <row r="33" spans="2:2">
      <c r="B33" s="116"/>
    </row>
    <row r="34" spans="2:2">
      <c r="B34" s="117"/>
    </row>
  </sheetData>
  <mergeCells count="7">
    <mergeCell ref="B27:C27"/>
    <mergeCell ref="B6:C6"/>
    <mergeCell ref="B11:C11"/>
    <mergeCell ref="B15:C15"/>
    <mergeCell ref="B19:C19"/>
    <mergeCell ref="B23:C23"/>
    <mergeCell ref="B7:C7"/>
  </mergeCells>
  <hyperlinks>
    <hyperlink ref="D11" location="'1.1 Overzicht'!A1" display="1. Overzicht" xr:uid="{09365BD0-D3E9-4531-B457-B76034391792}"/>
    <hyperlink ref="D15" location="'1.2 Varianten'!A1" display="1.2 Varianten" xr:uid="{415DCA0E-B11E-4300-879D-B84E5FE0FB4C}"/>
    <hyperlink ref="D19" location="'1.3 Energievraag - JBDK'!A1" display="1.3 Energievraag - JBDK" xr:uid="{DAA64559-FFBE-4409-8C8D-D1840A4CAFED}"/>
    <hyperlink ref="D23" location="'1.4 Kenmerken'!A1" display="1.4 Kenmerken" xr:uid="{54D84DFC-17FB-4009-8E90-5D5968CFBBB0}"/>
    <hyperlink ref="D27" location="'1.5 Kostenberekening'!A1" display="1.5 Kostenberekening" xr:uid="{F97E0123-96BD-4F67-BE11-634EA85B269C}"/>
  </hyperlink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BD20-7CC1-4B0E-A96A-DA17AB2CAFD5}">
  <sheetPr codeName="Blad4">
    <tabColor theme="8" tint="0.79998168889431442"/>
    <pageSetUpPr fitToPage="1"/>
  </sheetPr>
  <dimension ref="A1:S75"/>
  <sheetViews>
    <sheetView zoomScale="85" zoomScaleNormal="85" workbookViewId="0">
      <selection activeCell="F44" sqref="F44"/>
    </sheetView>
  </sheetViews>
  <sheetFormatPr defaultColWidth="9" defaultRowHeight="12.75"/>
  <cols>
    <col min="1" max="1" width="5" style="71" customWidth="1"/>
    <col min="2" max="2" width="35.85546875" style="71" bestFit="1" customWidth="1"/>
    <col min="3" max="3" width="14.140625" style="71" customWidth="1"/>
    <col min="4" max="4" width="11.140625" style="71" bestFit="1" customWidth="1"/>
    <col min="5" max="5" width="22" style="71" bestFit="1" customWidth="1"/>
    <col min="6" max="6" width="4.140625" style="71" customWidth="1"/>
    <col min="7" max="7" width="3.140625" style="71" customWidth="1"/>
    <col min="8" max="8" width="35.85546875" style="71" bestFit="1" customWidth="1"/>
    <col min="9" max="9" width="8.85546875" style="71" bestFit="1" customWidth="1"/>
    <col min="10" max="11" width="10.5703125" style="71" customWidth="1"/>
    <col min="12" max="12" width="33.140625" style="71" bestFit="1" customWidth="1"/>
    <col min="13" max="13" width="9.5703125" style="71" bestFit="1" customWidth="1"/>
    <col min="14" max="14" width="14.85546875" style="71" bestFit="1" customWidth="1"/>
    <col min="15" max="15" width="15.85546875" style="71" bestFit="1" customWidth="1"/>
    <col min="16" max="16" width="6.140625" style="71" customWidth="1"/>
    <col min="17" max="17" width="6.5703125" style="71" customWidth="1"/>
    <col min="18" max="18" width="26.5703125" style="71" bestFit="1" customWidth="1"/>
    <col min="19" max="19" width="9.85546875" style="71" customWidth="1"/>
    <col min="20" max="16384" width="9" style="71"/>
  </cols>
  <sheetData>
    <row r="1" spans="1:18" ht="20.25" customHeight="1">
      <c r="A1" s="141"/>
      <c r="B1" s="141"/>
      <c r="C1" s="141"/>
      <c r="D1" s="141"/>
      <c r="E1" s="141"/>
      <c r="F1" s="141"/>
      <c r="G1" s="141"/>
      <c r="H1" s="141"/>
      <c r="I1" s="141"/>
      <c r="J1" s="141"/>
      <c r="K1" s="141"/>
      <c r="L1" s="141"/>
      <c r="M1" s="141"/>
      <c r="N1" s="141"/>
      <c r="O1" s="141"/>
      <c r="P1" s="141"/>
      <c r="Q1" s="141"/>
      <c r="R1" s="141"/>
    </row>
    <row r="2" spans="1:18" s="65" customFormat="1" ht="15.75">
      <c r="A2" s="80"/>
      <c r="B2" s="61" t="s">
        <v>0</v>
      </c>
      <c r="C2" s="1" t="s">
        <v>1</v>
      </c>
      <c r="D2" s="36"/>
      <c r="E2" s="36"/>
      <c r="F2" s="36"/>
      <c r="G2" s="36"/>
      <c r="H2" s="36"/>
      <c r="I2" s="36"/>
      <c r="J2" s="66"/>
      <c r="K2" s="80"/>
      <c r="L2" s="80"/>
      <c r="M2" s="80"/>
      <c r="N2" s="80"/>
      <c r="O2" s="80"/>
      <c r="P2" s="80"/>
      <c r="Q2" s="80"/>
      <c r="R2" s="80"/>
    </row>
    <row r="3" spans="1:18" s="65" customFormat="1" ht="15.75">
      <c r="A3" s="81"/>
      <c r="B3" s="62" t="s">
        <v>2</v>
      </c>
      <c r="C3" s="2" t="s">
        <v>3</v>
      </c>
      <c r="D3" s="39"/>
      <c r="E3" s="39"/>
      <c r="F3" s="39"/>
      <c r="G3" s="39"/>
      <c r="H3" s="39"/>
      <c r="I3" s="39"/>
      <c r="J3" s="67"/>
      <c r="K3" s="81"/>
      <c r="L3" s="81"/>
      <c r="M3" s="81"/>
      <c r="N3" s="81"/>
      <c r="O3" s="81"/>
      <c r="P3" s="81"/>
      <c r="Q3" s="81"/>
      <c r="R3" s="81"/>
    </row>
    <row r="4" spans="1:18" s="65" customFormat="1" ht="15">
      <c r="A4" s="81"/>
      <c r="B4" s="63" t="s">
        <v>4</v>
      </c>
      <c r="C4" s="3" t="s">
        <v>19</v>
      </c>
      <c r="D4" s="40"/>
      <c r="E4" s="40"/>
      <c r="F4" s="40"/>
      <c r="G4" s="40"/>
      <c r="H4" s="40"/>
      <c r="I4" s="40"/>
      <c r="J4" s="68"/>
      <c r="K4" s="81"/>
      <c r="L4" s="81"/>
      <c r="M4" s="81"/>
      <c r="N4" s="81"/>
      <c r="O4" s="81"/>
      <c r="P4" s="81"/>
      <c r="Q4" s="81"/>
      <c r="R4" s="81"/>
    </row>
    <row r="5" spans="1:18" ht="20.25" customHeight="1">
      <c r="A5" s="141"/>
      <c r="B5" s="141"/>
      <c r="C5" s="141"/>
      <c r="D5" s="141"/>
      <c r="E5" s="141"/>
      <c r="F5" s="141"/>
      <c r="G5" s="141"/>
      <c r="H5" s="141"/>
      <c r="I5" s="141"/>
      <c r="J5" s="141"/>
      <c r="K5" s="141"/>
      <c r="L5" s="141"/>
      <c r="M5" s="141"/>
      <c r="N5" s="141"/>
      <c r="O5" s="141"/>
      <c r="P5" s="141"/>
      <c r="Q5" s="141"/>
      <c r="R5" s="141"/>
    </row>
    <row r="6" spans="1:18" ht="20.25" customHeight="1">
      <c r="A6" s="141"/>
      <c r="B6" s="141"/>
      <c r="C6" s="141"/>
      <c r="D6" s="141"/>
      <c r="E6" s="141"/>
      <c r="F6" s="141"/>
      <c r="G6" s="141"/>
      <c r="H6" s="141"/>
      <c r="I6" s="141"/>
      <c r="J6" s="141"/>
      <c r="K6" s="141"/>
      <c r="L6" s="141"/>
      <c r="M6" s="141"/>
      <c r="N6" s="141"/>
      <c r="O6" s="141"/>
      <c r="P6" s="141"/>
      <c r="Q6" s="141"/>
      <c r="R6" s="141"/>
    </row>
    <row r="7" spans="1:18" ht="20.25" customHeight="1">
      <c r="A7" s="141"/>
      <c r="B7" s="141"/>
      <c r="C7" s="141"/>
      <c r="D7" s="141"/>
      <c r="E7" s="141"/>
      <c r="F7" s="141"/>
      <c r="G7" s="141"/>
      <c r="H7" s="141"/>
      <c r="I7" s="141"/>
      <c r="J7" s="141"/>
      <c r="K7" s="141"/>
      <c r="L7" s="141"/>
      <c r="M7" s="141"/>
      <c r="N7" s="141"/>
      <c r="O7" s="141"/>
      <c r="P7" s="141"/>
      <c r="Q7" s="141"/>
      <c r="R7" s="141"/>
    </row>
    <row r="8" spans="1:18" ht="20.25" customHeight="1">
      <c r="A8" s="141"/>
      <c r="B8" s="141"/>
      <c r="C8" s="141"/>
      <c r="D8" s="141"/>
      <c r="E8" s="141"/>
      <c r="F8" s="141"/>
      <c r="G8" s="141"/>
      <c r="H8" s="141"/>
      <c r="I8" s="141"/>
      <c r="J8" s="141"/>
      <c r="K8" s="141"/>
      <c r="L8" s="141"/>
      <c r="M8" s="141"/>
      <c r="N8" s="141"/>
      <c r="O8" s="141"/>
      <c r="P8" s="141"/>
      <c r="Q8" s="141"/>
      <c r="R8" s="141"/>
    </row>
    <row r="9" spans="1:18" ht="20.25" customHeight="1">
      <c r="A9" s="141"/>
      <c r="B9" s="141"/>
      <c r="C9" s="141"/>
      <c r="D9" s="141"/>
      <c r="E9" s="141"/>
      <c r="F9" s="141"/>
      <c r="G9" s="141"/>
      <c r="H9" s="141"/>
      <c r="I9" s="141"/>
      <c r="J9" s="141"/>
      <c r="K9" s="141"/>
      <c r="L9" s="141"/>
      <c r="M9" s="141"/>
      <c r="N9" s="141"/>
      <c r="O9" s="141"/>
      <c r="P9" s="141"/>
      <c r="Q9" s="141"/>
      <c r="R9" s="141"/>
    </row>
    <row r="10" spans="1:18" ht="20.25" customHeight="1">
      <c r="A10" s="141"/>
      <c r="B10" s="141"/>
      <c r="C10" s="141"/>
      <c r="D10" s="141"/>
      <c r="E10" s="141"/>
      <c r="F10" s="141"/>
      <c r="G10" s="141"/>
      <c r="H10" s="141"/>
      <c r="I10" s="141"/>
      <c r="J10" s="141"/>
      <c r="K10" s="141"/>
      <c r="L10" s="141"/>
      <c r="M10" s="141"/>
      <c r="N10" s="141"/>
      <c r="O10" s="141"/>
      <c r="P10" s="141"/>
      <c r="Q10" s="141"/>
      <c r="R10" s="141"/>
    </row>
    <row r="11" spans="1:18" ht="20.25" customHeight="1">
      <c r="A11" s="141"/>
      <c r="B11" s="141"/>
      <c r="C11" s="141"/>
      <c r="D11" s="141"/>
      <c r="E11" s="141"/>
      <c r="F11" s="141"/>
      <c r="G11" s="141"/>
      <c r="H11" s="141"/>
      <c r="I11" s="141"/>
      <c r="J11" s="141"/>
      <c r="K11" s="141"/>
      <c r="L11" s="141"/>
      <c r="M11" s="141"/>
      <c r="N11" s="141"/>
      <c r="O11" s="141"/>
      <c r="P11" s="141"/>
      <c r="Q11" s="141"/>
      <c r="R11" s="141"/>
    </row>
    <row r="12" spans="1:18" ht="20.25" customHeight="1">
      <c r="A12" s="141"/>
      <c r="B12" s="141"/>
      <c r="C12" s="141"/>
      <c r="D12" s="141"/>
      <c r="E12" s="141"/>
      <c r="F12" s="141"/>
      <c r="G12" s="141"/>
      <c r="H12" s="141"/>
      <c r="I12" s="141"/>
      <c r="J12" s="141"/>
      <c r="K12" s="141"/>
      <c r="L12" s="141"/>
      <c r="M12" s="141"/>
      <c r="N12" s="141"/>
      <c r="O12" s="141"/>
      <c r="P12" s="141"/>
      <c r="Q12" s="141"/>
      <c r="R12" s="141"/>
    </row>
    <row r="13" spans="1:18" ht="20.25" customHeight="1">
      <c r="A13" s="141"/>
      <c r="B13" s="141"/>
      <c r="C13" s="141"/>
      <c r="D13" s="141"/>
      <c r="E13" s="141"/>
      <c r="F13" s="141"/>
      <c r="G13" s="141"/>
      <c r="H13" s="141"/>
      <c r="I13" s="141"/>
      <c r="J13" s="141"/>
      <c r="K13" s="141"/>
      <c r="L13" s="141"/>
      <c r="M13" s="141"/>
      <c r="N13" s="141"/>
      <c r="O13" s="141"/>
      <c r="P13" s="141"/>
      <c r="Q13" s="141"/>
      <c r="R13" s="141"/>
    </row>
    <row r="14" spans="1:18" ht="20.25" customHeight="1">
      <c r="A14" s="141"/>
      <c r="B14" s="141"/>
      <c r="C14" s="141"/>
      <c r="D14" s="141"/>
      <c r="E14" s="141"/>
      <c r="F14" s="141"/>
      <c r="G14" s="141"/>
      <c r="H14" s="141"/>
      <c r="I14" s="141"/>
      <c r="J14" s="141"/>
      <c r="K14" s="141"/>
      <c r="L14" s="141"/>
      <c r="M14" s="141"/>
      <c r="N14" s="141"/>
      <c r="O14" s="141"/>
      <c r="P14" s="141"/>
      <c r="Q14" s="141"/>
      <c r="R14" s="141"/>
    </row>
    <row r="15" spans="1:18" ht="20.25" customHeight="1">
      <c r="A15" s="141"/>
      <c r="B15" s="141"/>
      <c r="C15" s="141"/>
      <c r="D15" s="141"/>
      <c r="E15" s="141"/>
      <c r="F15" s="141"/>
      <c r="G15" s="141"/>
      <c r="H15" s="141"/>
      <c r="I15" s="141"/>
      <c r="J15" s="141"/>
      <c r="K15" s="141"/>
      <c r="L15" s="141"/>
      <c r="M15" s="141"/>
      <c r="N15" s="141"/>
      <c r="O15" s="141"/>
      <c r="P15" s="141"/>
      <c r="Q15" s="141"/>
      <c r="R15" s="141"/>
    </row>
    <row r="16" spans="1:18" ht="20.25" customHeight="1">
      <c r="A16" s="141"/>
      <c r="B16" s="141"/>
      <c r="C16" s="141"/>
      <c r="D16" s="141"/>
      <c r="E16" s="141"/>
      <c r="F16" s="141"/>
      <c r="G16" s="141"/>
      <c r="H16" s="141"/>
      <c r="I16" s="141"/>
      <c r="J16" s="141"/>
      <c r="K16" s="141"/>
      <c r="L16" s="141"/>
      <c r="M16" s="141"/>
      <c r="N16" s="141"/>
      <c r="O16" s="141"/>
      <c r="P16" s="141"/>
      <c r="Q16" s="141"/>
      <c r="R16" s="141"/>
    </row>
    <row r="17" spans="1:19" ht="20.25" customHeight="1">
      <c r="A17" s="141"/>
      <c r="B17" s="141"/>
      <c r="C17" s="141"/>
      <c r="D17" s="141"/>
      <c r="E17" s="141"/>
      <c r="F17" s="141"/>
      <c r="G17" s="141"/>
      <c r="H17" s="141"/>
      <c r="I17" s="141"/>
      <c r="J17" s="141"/>
      <c r="K17" s="141"/>
      <c r="L17" s="141"/>
      <c r="M17" s="141"/>
      <c r="N17" s="141"/>
      <c r="O17" s="141"/>
      <c r="P17" s="141"/>
      <c r="Q17" s="141"/>
      <c r="R17" s="141"/>
      <c r="S17" s="141"/>
    </row>
    <row r="18" spans="1:19" ht="20.25" customHeight="1">
      <c r="A18" s="141"/>
      <c r="B18" s="141"/>
      <c r="C18" s="141"/>
      <c r="D18" s="141"/>
      <c r="E18" s="141"/>
      <c r="F18" s="141"/>
      <c r="G18" s="141"/>
      <c r="H18" s="141"/>
      <c r="I18" s="141"/>
      <c r="J18" s="141"/>
      <c r="K18" s="141"/>
      <c r="L18" s="141"/>
      <c r="M18" s="141"/>
      <c r="N18" s="141"/>
      <c r="O18" s="141"/>
      <c r="P18" s="141"/>
      <c r="Q18" s="141"/>
      <c r="R18" s="141"/>
      <c r="S18" s="141"/>
    </row>
    <row r="19" spans="1:19" ht="20.25" customHeight="1">
      <c r="A19" s="141"/>
      <c r="B19" s="141"/>
      <c r="C19" s="141"/>
      <c r="D19" s="141"/>
      <c r="E19" s="141"/>
      <c r="F19" s="141"/>
      <c r="G19" s="141"/>
      <c r="H19" s="141"/>
      <c r="I19" s="141"/>
      <c r="J19" s="141"/>
      <c r="K19" s="141"/>
      <c r="L19" s="141"/>
      <c r="M19" s="141"/>
      <c r="N19" s="141"/>
      <c r="O19" s="141"/>
      <c r="P19" s="141"/>
      <c r="Q19" s="141"/>
      <c r="R19" s="141"/>
      <c r="S19" s="141"/>
    </row>
    <row r="20" spans="1:19" ht="20.25" customHeight="1">
      <c r="A20" s="141"/>
      <c r="B20" s="141"/>
      <c r="C20" s="141"/>
      <c r="D20" s="141"/>
      <c r="E20" s="141"/>
      <c r="F20" s="141"/>
      <c r="G20" s="141"/>
      <c r="H20" s="141"/>
      <c r="I20" s="141"/>
      <c r="J20" s="141"/>
      <c r="K20" s="141"/>
      <c r="L20" s="141"/>
      <c r="M20" s="142"/>
      <c r="N20" s="141"/>
      <c r="O20" s="141"/>
      <c r="P20" s="141"/>
      <c r="Q20" s="141"/>
      <c r="R20" s="141"/>
      <c r="S20" s="141"/>
    </row>
    <row r="21" spans="1:19" ht="20.25" customHeight="1">
      <c r="A21" s="141"/>
      <c r="B21" s="141"/>
      <c r="C21" s="141"/>
      <c r="D21" s="141"/>
      <c r="E21" s="141"/>
      <c r="F21" s="141"/>
      <c r="G21" s="141"/>
      <c r="H21" s="141"/>
      <c r="I21" s="141"/>
      <c r="J21" s="141"/>
      <c r="K21" s="141"/>
      <c r="L21" s="141"/>
      <c r="M21" s="141"/>
      <c r="N21" s="141"/>
      <c r="O21" s="141"/>
      <c r="P21" s="141"/>
      <c r="Q21" s="141"/>
      <c r="R21" s="141"/>
      <c r="S21" s="141"/>
    </row>
    <row r="22" spans="1:19" ht="20.25" customHeight="1">
      <c r="A22" s="141"/>
      <c r="B22" s="141"/>
      <c r="C22" s="141"/>
      <c r="D22" s="141"/>
      <c r="E22" s="141"/>
      <c r="F22" s="141"/>
      <c r="G22" s="141"/>
      <c r="H22" s="141"/>
      <c r="I22" s="141"/>
      <c r="J22" s="141"/>
      <c r="K22" s="141"/>
      <c r="L22" s="141"/>
      <c r="M22" s="141"/>
      <c r="N22" s="141"/>
      <c r="O22" s="141"/>
      <c r="P22" s="141"/>
      <c r="Q22" s="141"/>
      <c r="R22" s="141"/>
      <c r="S22" s="141"/>
    </row>
    <row r="23" spans="1:19" ht="20.25" customHeight="1">
      <c r="A23" s="141"/>
      <c r="B23" s="14"/>
      <c r="C23" s="143"/>
      <c r="D23" s="143"/>
      <c r="E23" s="143"/>
      <c r="F23" s="143"/>
      <c r="G23" s="143"/>
      <c r="H23" s="143"/>
      <c r="I23" s="143"/>
      <c r="J23" s="143"/>
      <c r="K23" s="141"/>
      <c r="L23" s="141"/>
      <c r="M23" s="141"/>
      <c r="N23" s="141"/>
      <c r="O23" s="141"/>
      <c r="P23" s="141"/>
      <c r="Q23" s="141"/>
      <c r="R23" s="141"/>
      <c r="S23" s="141"/>
    </row>
    <row r="24" spans="1:19" ht="20.25" customHeight="1">
      <c r="A24" s="141"/>
      <c r="B24" s="141"/>
      <c r="C24" s="141"/>
      <c r="D24" s="141"/>
      <c r="E24" s="141"/>
      <c r="F24" s="141"/>
      <c r="G24" s="141"/>
      <c r="H24" s="141"/>
      <c r="I24" s="141"/>
      <c r="J24" s="141"/>
      <c r="K24" s="141"/>
      <c r="L24" s="141"/>
      <c r="M24" s="141"/>
      <c r="N24" s="141"/>
      <c r="O24" s="141"/>
      <c r="P24" s="141"/>
      <c r="Q24" s="141"/>
      <c r="R24" s="141"/>
      <c r="S24" s="141"/>
    </row>
    <row r="25" spans="1:19" ht="20.25" customHeight="1">
      <c r="A25" s="141"/>
      <c r="B25" s="111" t="s">
        <v>20</v>
      </c>
      <c r="C25" s="230" t="s">
        <v>21</v>
      </c>
      <c r="D25" s="230"/>
      <c r="E25" s="230"/>
      <c r="F25" s="141"/>
      <c r="G25" s="141"/>
      <c r="H25" s="111" t="s">
        <v>22</v>
      </c>
      <c r="I25" s="144"/>
      <c r="J25" s="141"/>
      <c r="K25" s="141"/>
      <c r="L25" s="141"/>
      <c r="M25" s="141"/>
      <c r="N25" s="141"/>
      <c r="O25" s="141"/>
      <c r="P25" s="141"/>
      <c r="Q25" s="141"/>
      <c r="R25" s="77"/>
      <c r="S25" s="141"/>
    </row>
    <row r="26" spans="1:19" ht="20.25" customHeight="1">
      <c r="A26" s="137"/>
      <c r="B26" s="141" t="s">
        <v>23</v>
      </c>
      <c r="C26" s="95">
        <v>20</v>
      </c>
      <c r="D26" s="95">
        <v>5</v>
      </c>
      <c r="E26" s="103">
        <v>1</v>
      </c>
      <c r="F26" s="141"/>
      <c r="G26" s="145"/>
      <c r="H26" s="141" t="s">
        <v>23</v>
      </c>
      <c r="I26" s="95">
        <f>D26</f>
        <v>5</v>
      </c>
      <c r="J26" s="141"/>
      <c r="K26" s="141"/>
      <c r="L26" s="141"/>
      <c r="M26" s="141"/>
      <c r="N26" s="141"/>
      <c r="O26" s="141"/>
      <c r="P26" s="145"/>
      <c r="Q26" s="141"/>
      <c r="R26" s="141"/>
      <c r="S26" s="96"/>
    </row>
    <row r="27" spans="1:19" ht="20.25" customHeight="1">
      <c r="A27" s="137"/>
      <c r="B27" s="16" t="s">
        <v>24</v>
      </c>
      <c r="C27" s="131">
        <v>6000</v>
      </c>
      <c r="D27" s="131">
        <v>3500</v>
      </c>
      <c r="E27" s="132">
        <v>2000</v>
      </c>
      <c r="F27" s="16"/>
      <c r="G27" s="97"/>
      <c r="H27" s="16" t="s">
        <v>25</v>
      </c>
      <c r="I27" s="98">
        <f>D27</f>
        <v>3500</v>
      </c>
      <c r="J27" s="141"/>
      <c r="K27" s="141"/>
      <c r="L27" s="141"/>
      <c r="M27" s="141"/>
      <c r="N27" s="141"/>
      <c r="O27" s="141"/>
      <c r="P27" s="145"/>
      <c r="Q27" s="141"/>
      <c r="R27" s="141"/>
      <c r="S27" s="99"/>
    </row>
    <row r="28" spans="1:19" ht="20.25" customHeight="1">
      <c r="A28" s="137"/>
      <c r="B28" s="16" t="s">
        <v>26</v>
      </c>
      <c r="C28" s="131">
        <v>2500</v>
      </c>
      <c r="D28" s="131">
        <v>3000</v>
      </c>
      <c r="E28" s="132">
        <v>2000</v>
      </c>
      <c r="F28" s="16"/>
      <c r="G28" s="97"/>
      <c r="H28" s="16" t="s">
        <v>27</v>
      </c>
      <c r="I28" s="98">
        <f>D28</f>
        <v>3000</v>
      </c>
      <c r="J28" s="141"/>
      <c r="K28" s="141"/>
      <c r="L28" s="141"/>
      <c r="M28" s="141"/>
      <c r="N28" s="141"/>
      <c r="O28" s="141"/>
      <c r="P28" s="145"/>
      <c r="Q28" s="141"/>
      <c r="R28" s="141"/>
      <c r="S28" s="99"/>
    </row>
    <row r="29" spans="1:19" ht="20.25" customHeight="1">
      <c r="A29" s="137"/>
      <c r="B29" s="64" t="s">
        <v>28</v>
      </c>
      <c r="C29" s="104">
        <v>0</v>
      </c>
      <c r="D29" s="104">
        <v>500</v>
      </c>
      <c r="E29" s="105">
        <v>1000</v>
      </c>
      <c r="F29" s="16"/>
      <c r="G29" s="97"/>
      <c r="H29" s="16" t="s">
        <v>28</v>
      </c>
      <c r="I29" s="98">
        <f>D29</f>
        <v>500</v>
      </c>
      <c r="J29" s="141"/>
      <c r="K29" s="141"/>
      <c r="L29" s="141"/>
      <c r="M29" s="141"/>
      <c r="N29" s="141"/>
      <c r="O29" s="141"/>
      <c r="P29" s="145"/>
      <c r="Q29" s="141"/>
      <c r="R29" s="141"/>
      <c r="S29" s="99"/>
    </row>
    <row r="30" spans="1:19" ht="20.25" customHeight="1">
      <c r="A30" s="137"/>
      <c r="B30" s="141" t="s">
        <v>29</v>
      </c>
      <c r="C30" s="106">
        <v>5</v>
      </c>
      <c r="D30" s="106">
        <v>10</v>
      </c>
      <c r="E30" s="102" t="s">
        <v>30</v>
      </c>
      <c r="F30" s="141"/>
      <c r="G30" s="145"/>
      <c r="H30" s="141" t="s">
        <v>31</v>
      </c>
      <c r="I30" s="146">
        <f>C30</f>
        <v>5</v>
      </c>
      <c r="J30" s="141"/>
      <c r="K30" s="141"/>
      <c r="L30" s="141"/>
      <c r="M30" s="141"/>
      <c r="N30" s="141"/>
      <c r="O30" s="141"/>
      <c r="P30" s="145"/>
      <c r="Q30" s="141"/>
      <c r="R30" s="141"/>
      <c r="S30" s="99"/>
    </row>
    <row r="31" spans="1:19" ht="20.25" customHeight="1">
      <c r="A31" s="137"/>
      <c r="B31" s="141" t="s">
        <v>32</v>
      </c>
      <c r="C31" s="102">
        <v>68</v>
      </c>
      <c r="D31" s="102">
        <v>32</v>
      </c>
      <c r="E31" s="102">
        <v>170</v>
      </c>
      <c r="F31" s="141"/>
      <c r="G31" s="145"/>
      <c r="H31" s="141" t="s">
        <v>32</v>
      </c>
      <c r="I31" s="147">
        <f>C31</f>
        <v>68</v>
      </c>
      <c r="J31" s="141"/>
      <c r="K31" s="141"/>
      <c r="L31" s="141"/>
      <c r="M31" s="141"/>
      <c r="N31" s="141"/>
      <c r="O31" s="141"/>
      <c r="P31" s="145"/>
      <c r="Q31" s="141"/>
      <c r="R31" s="141"/>
      <c r="S31" s="99"/>
    </row>
    <row r="32" spans="1:19" ht="20.25" customHeight="1">
      <c r="A32" s="137"/>
      <c r="B32" s="141" t="s">
        <v>33</v>
      </c>
      <c r="C32" s="107">
        <v>0.7</v>
      </c>
      <c r="D32" s="107">
        <v>0.5</v>
      </c>
      <c r="E32" s="107">
        <v>0.3</v>
      </c>
      <c r="F32" s="141"/>
      <c r="G32" s="145"/>
      <c r="H32" s="141" t="s">
        <v>33</v>
      </c>
      <c r="I32" s="148">
        <f>D32</f>
        <v>0.5</v>
      </c>
      <c r="J32" s="141"/>
      <c r="K32" s="141"/>
      <c r="L32" s="141"/>
      <c r="M32" s="141"/>
      <c r="N32" s="141"/>
      <c r="O32" s="141"/>
      <c r="P32" s="141"/>
      <c r="Q32" s="141"/>
      <c r="R32" s="141"/>
      <c r="S32" s="141"/>
    </row>
    <row r="33" spans="1:19" ht="20.25" customHeight="1">
      <c r="A33" s="137"/>
      <c r="B33" s="141" t="s">
        <v>34</v>
      </c>
      <c r="C33" s="102" t="s">
        <v>35</v>
      </c>
      <c r="D33" s="102" t="s">
        <v>36</v>
      </c>
      <c r="E33" s="102" t="s">
        <v>30</v>
      </c>
      <c r="F33" s="141"/>
      <c r="G33" s="145"/>
      <c r="H33" s="141" t="s">
        <v>34</v>
      </c>
      <c r="I33" s="147" t="str">
        <f>C33</f>
        <v>met WKO</v>
      </c>
      <c r="J33" s="141"/>
      <c r="K33" s="141"/>
      <c r="L33" s="141"/>
      <c r="M33" s="141"/>
      <c r="N33" s="141"/>
      <c r="O33" s="141"/>
      <c r="P33" s="145"/>
      <c r="Q33" s="141"/>
      <c r="R33" s="141"/>
      <c r="S33" s="99"/>
    </row>
    <row r="34" spans="1:19" ht="20.25" customHeight="1">
      <c r="A34" s="137"/>
      <c r="B34" s="141" t="s">
        <v>37</v>
      </c>
      <c r="C34" s="108">
        <v>250</v>
      </c>
      <c r="D34" s="108">
        <v>90</v>
      </c>
      <c r="E34" s="108">
        <v>50</v>
      </c>
      <c r="F34" s="141"/>
      <c r="G34" s="145"/>
      <c r="H34" s="141" t="s">
        <v>37</v>
      </c>
      <c r="I34" s="149">
        <f>D34</f>
        <v>90</v>
      </c>
      <c r="J34" s="141"/>
      <c r="K34" s="141"/>
      <c r="L34" s="141"/>
      <c r="M34" s="141"/>
      <c r="N34" s="141"/>
      <c r="O34" s="141"/>
      <c r="P34" s="145"/>
      <c r="Q34" s="141"/>
      <c r="R34" s="141"/>
      <c r="S34" s="100"/>
    </row>
    <row r="35" spans="1:19" ht="20.25" customHeight="1">
      <c r="A35" s="137"/>
      <c r="B35" s="141" t="s">
        <v>38</v>
      </c>
      <c r="C35" s="109">
        <v>230</v>
      </c>
      <c r="D35" s="109">
        <v>150</v>
      </c>
      <c r="E35" s="109">
        <v>80</v>
      </c>
      <c r="F35" s="141"/>
      <c r="G35" s="145"/>
      <c r="H35" s="141" t="s">
        <v>38</v>
      </c>
      <c r="I35" s="147">
        <f>D35</f>
        <v>150</v>
      </c>
      <c r="J35" s="141"/>
      <c r="K35" s="141"/>
      <c r="L35" s="141"/>
      <c r="M35" s="141"/>
      <c r="N35" s="141"/>
      <c r="O35" s="141"/>
      <c r="P35" s="141"/>
      <c r="Q35" s="141"/>
      <c r="R35" s="141"/>
      <c r="S35" s="100"/>
    </row>
    <row r="36" spans="1:19" ht="20.25" customHeight="1">
      <c r="A36" s="137"/>
      <c r="B36" s="141" t="s">
        <v>39</v>
      </c>
      <c r="C36" s="109">
        <v>500</v>
      </c>
      <c r="D36" s="109">
        <v>2000</v>
      </c>
      <c r="E36" s="102" t="s">
        <v>40</v>
      </c>
      <c r="F36" s="141"/>
      <c r="G36" s="145"/>
      <c r="H36" s="141" t="s">
        <v>41</v>
      </c>
      <c r="I36" s="150">
        <f>C36</f>
        <v>500</v>
      </c>
      <c r="J36" s="141"/>
      <c r="K36" s="141"/>
      <c r="L36" s="141"/>
      <c r="M36" s="141"/>
      <c r="N36" s="141"/>
      <c r="O36" s="141"/>
      <c r="P36" s="145"/>
      <c r="Q36" s="141"/>
      <c r="R36" s="141"/>
      <c r="S36" s="100"/>
    </row>
    <row r="37" spans="1:19" ht="20.25" customHeight="1">
      <c r="A37" s="137"/>
      <c r="B37" s="141" t="s">
        <v>42</v>
      </c>
      <c r="C37" s="109">
        <v>500</v>
      </c>
      <c r="D37" s="109">
        <v>2000</v>
      </c>
      <c r="E37" s="102" t="s">
        <v>40</v>
      </c>
      <c r="F37" s="141"/>
      <c r="G37" s="145"/>
      <c r="H37" s="141" t="s">
        <v>42</v>
      </c>
      <c r="I37" s="150">
        <f>C37</f>
        <v>500</v>
      </c>
      <c r="J37" s="141"/>
      <c r="K37" s="151"/>
      <c r="L37" s="141"/>
      <c r="M37" s="141"/>
      <c r="N37" s="141"/>
      <c r="O37" s="141"/>
      <c r="P37" s="141"/>
      <c r="Q37" s="141"/>
      <c r="R37" s="141"/>
      <c r="S37" s="99"/>
    </row>
    <row r="38" spans="1:19" ht="20.25" customHeight="1">
      <c r="A38" s="137"/>
      <c r="B38" s="141" t="s">
        <v>43</v>
      </c>
      <c r="C38" s="102" t="s">
        <v>44</v>
      </c>
      <c r="D38" s="102" t="s">
        <v>45</v>
      </c>
      <c r="E38" s="102" t="s">
        <v>30</v>
      </c>
      <c r="F38" s="141"/>
      <c r="G38" s="145"/>
      <c r="H38" s="141" t="s">
        <v>43</v>
      </c>
      <c r="I38" s="147" t="str">
        <f>C38</f>
        <v>stedelijk</v>
      </c>
      <c r="J38" s="141"/>
      <c r="K38" s="141"/>
      <c r="L38" s="141"/>
      <c r="M38" s="141"/>
      <c r="N38" s="141"/>
      <c r="O38" s="141"/>
      <c r="P38" s="145"/>
      <c r="Q38" s="141"/>
      <c r="R38" s="141"/>
      <c r="S38" s="141"/>
    </row>
    <row r="39" spans="1:19" ht="20.25" customHeight="1">
      <c r="A39" s="137"/>
      <c r="B39" s="141" t="s">
        <v>46</v>
      </c>
      <c r="C39" s="107">
        <v>0.02</v>
      </c>
      <c r="D39" s="107">
        <v>0.03</v>
      </c>
      <c r="E39" s="107">
        <v>0.04</v>
      </c>
      <c r="F39" s="101"/>
      <c r="G39" s="145"/>
      <c r="H39" s="141" t="s">
        <v>46</v>
      </c>
      <c r="I39" s="148">
        <f>D39</f>
        <v>0.03</v>
      </c>
      <c r="J39" s="141"/>
      <c r="K39" s="141"/>
      <c r="L39" s="141"/>
      <c r="M39" s="141"/>
      <c r="N39" s="141"/>
      <c r="O39" s="141"/>
      <c r="P39" s="141"/>
      <c r="Q39" s="141"/>
      <c r="R39" s="141"/>
      <c r="S39" s="141"/>
    </row>
    <row r="40" spans="1:19" ht="20.25" customHeight="1">
      <c r="A40" s="137"/>
      <c r="B40" s="141" t="s">
        <v>47</v>
      </c>
      <c r="C40" s="110">
        <v>0.08</v>
      </c>
      <c r="D40" s="110">
        <v>0.06</v>
      </c>
      <c r="E40" s="110">
        <v>0.04</v>
      </c>
      <c r="F40" s="141"/>
      <c r="G40" s="145"/>
      <c r="H40" s="141" t="s">
        <v>47</v>
      </c>
      <c r="I40" s="148">
        <f>D40</f>
        <v>0.06</v>
      </c>
      <c r="J40" s="141"/>
      <c r="K40" s="141"/>
      <c r="L40" s="141"/>
      <c r="M40" s="141"/>
      <c r="N40" s="141"/>
      <c r="O40" s="141"/>
      <c r="P40" s="141"/>
      <c r="Q40" s="141"/>
      <c r="R40" s="141"/>
      <c r="S40" s="141"/>
    </row>
    <row r="41" spans="1:19" ht="20.25" customHeight="1">
      <c r="A41" s="137"/>
      <c r="B41" s="141" t="s">
        <v>48</v>
      </c>
      <c r="C41" s="102" t="s">
        <v>49</v>
      </c>
      <c r="D41" s="102" t="s">
        <v>50</v>
      </c>
      <c r="E41" s="102" t="s">
        <v>30</v>
      </c>
      <c r="F41" s="141"/>
      <c r="G41" s="141"/>
      <c r="H41" s="141" t="s">
        <v>48</v>
      </c>
      <c r="I41" s="148" t="str">
        <f>D41</f>
        <v>nee</v>
      </c>
      <c r="J41" s="141"/>
      <c r="K41" s="141"/>
      <c r="L41" s="141"/>
      <c r="M41" s="141"/>
      <c r="N41" s="141"/>
      <c r="O41" s="141"/>
      <c r="P41" s="141"/>
      <c r="Q41" s="141"/>
      <c r="R41" s="141"/>
      <c r="S41" s="141"/>
    </row>
    <row r="42" spans="1:19" ht="20.25" customHeight="1">
      <c r="A42" s="137"/>
      <c r="B42" s="141" t="s">
        <v>51</v>
      </c>
      <c r="C42" s="102" t="s">
        <v>52</v>
      </c>
      <c r="D42" s="102" t="s">
        <v>53</v>
      </c>
      <c r="E42" s="102" t="s">
        <v>54</v>
      </c>
      <c r="F42" s="141"/>
      <c r="G42" s="141"/>
      <c r="H42" s="141" t="s">
        <v>51</v>
      </c>
      <c r="I42" s="148" t="str">
        <f t="shared" ref="I42" si="0">D42</f>
        <v>TEO</v>
      </c>
      <c r="J42" s="141"/>
      <c r="K42" s="141"/>
      <c r="L42" s="141"/>
      <c r="M42" s="141"/>
      <c r="N42" s="141"/>
      <c r="O42" s="141"/>
      <c r="P42" s="141"/>
      <c r="Q42" s="141"/>
      <c r="R42" s="141"/>
      <c r="S42" s="141"/>
    </row>
    <row r="43" spans="1:19" ht="20.25" customHeight="1">
      <c r="A43" s="137"/>
      <c r="B43" s="141" t="s">
        <v>55</v>
      </c>
      <c r="C43" s="102">
        <v>70</v>
      </c>
      <c r="D43" s="102">
        <v>40</v>
      </c>
      <c r="E43" s="102" t="s">
        <v>56</v>
      </c>
      <c r="F43" s="141"/>
      <c r="G43" s="141"/>
      <c r="H43" s="141" t="s">
        <v>57</v>
      </c>
      <c r="I43" s="102">
        <f>C43</f>
        <v>70</v>
      </c>
      <c r="J43" s="141"/>
      <c r="K43" s="141"/>
      <c r="L43" s="141"/>
      <c r="M43" s="141"/>
      <c r="N43" s="141"/>
      <c r="O43" s="141"/>
      <c r="P43" s="141"/>
      <c r="Q43" s="141"/>
      <c r="R43" s="141"/>
      <c r="S43" s="99"/>
    </row>
    <row r="44" spans="1:19" ht="20.25" customHeight="1">
      <c r="A44" s="141"/>
      <c r="B44" s="141"/>
      <c r="C44" s="141"/>
      <c r="D44" s="141"/>
      <c r="E44" s="141"/>
      <c r="F44" s="141"/>
      <c r="G44" s="141"/>
      <c r="H44" s="141"/>
      <c r="I44" s="141"/>
      <c r="J44" s="141"/>
      <c r="K44" s="141"/>
      <c r="L44" s="141"/>
      <c r="M44" s="141"/>
      <c r="N44" s="141"/>
      <c r="O44" s="141"/>
      <c r="P44" s="141"/>
      <c r="Q44" s="141"/>
      <c r="R44" s="141"/>
      <c r="S44" s="141"/>
    </row>
    <row r="45" spans="1:19" ht="20.25" customHeight="1">
      <c r="A45" s="141"/>
      <c r="B45" s="141"/>
      <c r="C45" s="141"/>
      <c r="D45" s="141"/>
      <c r="E45" s="141"/>
      <c r="F45" s="141"/>
      <c r="G45" s="141"/>
      <c r="H45" s="141"/>
      <c r="I45" s="141"/>
      <c r="J45" s="141"/>
      <c r="K45" s="141"/>
      <c r="L45" s="141"/>
      <c r="M45" s="141"/>
      <c r="N45" s="141"/>
      <c r="O45" s="141"/>
      <c r="P45" s="141"/>
      <c r="Q45" s="141"/>
      <c r="R45" s="141"/>
      <c r="S45" s="141"/>
    </row>
    <row r="46" spans="1:19" ht="20.25" customHeight="1">
      <c r="A46" s="141"/>
      <c r="B46" s="141"/>
      <c r="C46" s="141"/>
      <c r="D46" s="141"/>
      <c r="E46" s="141"/>
      <c r="F46" s="141"/>
      <c r="G46" s="141"/>
      <c r="H46" s="141"/>
      <c r="I46" s="141"/>
      <c r="J46" s="141"/>
      <c r="K46" s="141"/>
      <c r="L46" s="141"/>
      <c r="M46" s="141"/>
      <c r="N46" s="141"/>
      <c r="O46" s="141"/>
      <c r="P46" s="141"/>
      <c r="Q46" s="141"/>
      <c r="R46" s="141"/>
      <c r="S46" s="141"/>
    </row>
    <row r="47" spans="1:19" ht="20.25" customHeight="1">
      <c r="A47" s="141"/>
      <c r="B47" s="141"/>
      <c r="C47" s="141"/>
      <c r="D47" s="141"/>
      <c r="E47" s="141"/>
      <c r="F47" s="141"/>
      <c r="G47" s="141"/>
      <c r="H47" s="141"/>
      <c r="I47" s="141"/>
      <c r="J47" s="141"/>
      <c r="K47" s="141"/>
      <c r="L47" s="141"/>
      <c r="M47" s="141"/>
      <c r="N47" s="141"/>
      <c r="O47" s="141"/>
      <c r="P47" s="141"/>
      <c r="Q47" s="141"/>
      <c r="R47" s="141"/>
      <c r="S47" s="141"/>
    </row>
    <row r="48" spans="1:19" ht="20.25" customHeight="1">
      <c r="A48" s="141"/>
      <c r="B48" s="141"/>
      <c r="C48" s="141"/>
      <c r="D48" s="141"/>
      <c r="E48" s="141"/>
      <c r="F48" s="141"/>
      <c r="G48" s="141"/>
      <c r="H48" s="141"/>
      <c r="I48" s="141"/>
      <c r="J48" s="141"/>
      <c r="K48" s="141"/>
      <c r="L48" s="141"/>
      <c r="M48" s="141"/>
      <c r="N48" s="141"/>
      <c r="O48" s="141"/>
      <c r="P48" s="141"/>
      <c r="Q48" s="141"/>
      <c r="R48" s="141"/>
      <c r="S48" s="141"/>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sheetData>
  <mergeCells count="1">
    <mergeCell ref="C25:E25"/>
  </mergeCells>
  <phoneticPr fontId="14" type="noConversion"/>
  <dataValidations disablePrompts="1" count="1">
    <dataValidation type="list" allowBlank="1" showInputMessage="1" showErrorMessage="1" sqref="S43 S26:S37" xr:uid="{50FF3C24-3754-4295-9E2B-289B54894071}">
      <formula1>#REF!</formula1>
    </dataValidation>
  </dataValidations>
  <pageMargins left="0.7" right="0.7" top="0.75" bottom="0.75" header="0.3" footer="0.3"/>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0574-AC46-4D07-AFFD-14798E28546F}">
  <sheetPr codeName="Blad5">
    <tabColor theme="8" tint="0.79998168889431442"/>
  </sheetPr>
  <dimension ref="A2:D35"/>
  <sheetViews>
    <sheetView zoomScaleNormal="100" workbookViewId="0">
      <selection activeCell="C9" sqref="C9"/>
    </sheetView>
  </sheetViews>
  <sheetFormatPr defaultColWidth="9" defaultRowHeight="12.75"/>
  <cols>
    <col min="1" max="1" width="5" style="71" customWidth="1"/>
    <col min="2" max="2" width="42.5703125" style="71" customWidth="1"/>
    <col min="3" max="3" width="37.140625" style="71" customWidth="1"/>
    <col min="4" max="4" width="33.140625" style="71" customWidth="1"/>
    <col min="5" max="16384" width="9" style="71"/>
  </cols>
  <sheetData>
    <row r="2" spans="1:4" ht="15.75">
      <c r="A2" s="80"/>
      <c r="B2" s="61" t="s">
        <v>0</v>
      </c>
      <c r="C2" s="1" t="s">
        <v>1</v>
      </c>
      <c r="D2" s="1"/>
    </row>
    <row r="3" spans="1:4" ht="15.75">
      <c r="A3" s="81"/>
      <c r="B3" s="62" t="s">
        <v>2</v>
      </c>
      <c r="C3" s="2" t="s">
        <v>3</v>
      </c>
      <c r="D3" s="2"/>
    </row>
    <row r="4" spans="1:4" ht="15">
      <c r="A4" s="81"/>
      <c r="B4" s="63" t="s">
        <v>58</v>
      </c>
      <c r="C4" s="3" t="s">
        <v>10</v>
      </c>
      <c r="D4" s="3"/>
    </row>
    <row r="5" spans="1:4">
      <c r="A5" s="141"/>
      <c r="B5" s="141"/>
      <c r="C5" s="141"/>
      <c r="D5" s="141"/>
    </row>
    <row r="6" spans="1:4">
      <c r="A6" s="141"/>
      <c r="B6" s="91" t="s">
        <v>59</v>
      </c>
      <c r="C6" s="94" t="s">
        <v>60</v>
      </c>
      <c r="D6" s="94" t="s">
        <v>61</v>
      </c>
    </row>
    <row r="7" spans="1:4">
      <c r="A7" s="141"/>
      <c r="B7" s="6"/>
      <c r="C7" s="7"/>
      <c r="D7" s="141"/>
    </row>
    <row r="8" spans="1:4" ht="15">
      <c r="A8" s="137"/>
      <c r="B8" s="141" t="s">
        <v>23</v>
      </c>
      <c r="C8" s="200">
        <v>5</v>
      </c>
      <c r="D8" s="141"/>
    </row>
    <row r="9" spans="1:4" ht="15">
      <c r="A9" s="137"/>
      <c r="B9" s="141" t="s">
        <v>24</v>
      </c>
      <c r="C9" s="201">
        <f>'1.1 Overzicht'!I27</f>
        <v>3500</v>
      </c>
      <c r="D9" s="141"/>
    </row>
    <row r="10" spans="1:4" ht="15">
      <c r="A10" s="137"/>
      <c r="B10" s="141" t="s">
        <v>26</v>
      </c>
      <c r="C10" s="220">
        <f>'1.1 Overzicht'!I28</f>
        <v>3000</v>
      </c>
      <c r="D10" s="141"/>
    </row>
    <row r="11" spans="1:4" ht="15">
      <c r="A11" s="137"/>
      <c r="B11" s="141" t="s">
        <v>29</v>
      </c>
      <c r="C11" s="221">
        <f>'1.1 Overzicht'!I30</f>
        <v>5</v>
      </c>
      <c r="D11" s="141"/>
    </row>
    <row r="12" spans="1:4" ht="15">
      <c r="A12" s="137"/>
      <c r="B12" s="141" t="s">
        <v>32</v>
      </c>
      <c r="C12" s="202">
        <f>'1.1 Overzicht'!C31</f>
        <v>68</v>
      </c>
      <c r="D12" s="141"/>
    </row>
    <row r="13" spans="1:4" ht="15">
      <c r="A13" s="137"/>
      <c r="B13" s="141" t="s">
        <v>33</v>
      </c>
      <c r="C13" s="222">
        <f>'1.1 Overzicht'!$I$32</f>
        <v>0.5</v>
      </c>
      <c r="D13" s="141"/>
    </row>
    <row r="14" spans="1:4" ht="15">
      <c r="A14" s="137"/>
      <c r="B14" s="141" t="s">
        <v>34</v>
      </c>
      <c r="C14" s="200" t="s">
        <v>35</v>
      </c>
      <c r="D14" s="141"/>
    </row>
    <row r="15" spans="1:4" ht="15">
      <c r="A15" s="137"/>
      <c r="B15" s="141" t="s">
        <v>62</v>
      </c>
      <c r="C15" s="218">
        <f>'1.1 Overzicht'!$I$34</f>
        <v>90</v>
      </c>
      <c r="D15" s="141"/>
    </row>
    <row r="16" spans="1:4" ht="15">
      <c r="A16" s="137"/>
      <c r="B16" s="141" t="s">
        <v>38</v>
      </c>
      <c r="C16" s="219">
        <f>'1.1 Overzicht'!$I$35</f>
        <v>150</v>
      </c>
      <c r="D16" s="141"/>
    </row>
    <row r="17" spans="1:3" ht="15">
      <c r="A17" s="137"/>
      <c r="B17" s="141" t="s">
        <v>39</v>
      </c>
      <c r="C17" s="203">
        <f>'1.1 Overzicht'!$I$36</f>
        <v>500</v>
      </c>
    </row>
    <row r="18" spans="1:3" ht="15">
      <c r="A18" s="137"/>
      <c r="B18" s="141" t="s">
        <v>42</v>
      </c>
      <c r="C18" s="203">
        <f>'1.1 Overzicht'!$I$37</f>
        <v>500</v>
      </c>
    </row>
    <row r="19" spans="1:3" ht="15">
      <c r="A19" s="137"/>
      <c r="B19" s="141" t="s">
        <v>43</v>
      </c>
      <c r="C19" s="200" t="str">
        <f>'1.1 Overzicht'!I38</f>
        <v>stedelijk</v>
      </c>
    </row>
    <row r="20" spans="1:3" ht="15">
      <c r="A20" s="137"/>
      <c r="B20" s="141" t="s">
        <v>46</v>
      </c>
      <c r="C20" s="222">
        <f>'1.1 Overzicht'!I39</f>
        <v>0.03</v>
      </c>
    </row>
    <row r="21" spans="1:3" ht="15">
      <c r="A21" s="137"/>
      <c r="B21" s="141" t="s">
        <v>47</v>
      </c>
      <c r="C21" s="222">
        <f>'1.1 Overzicht'!I40</f>
        <v>0.06</v>
      </c>
    </row>
    <row r="22" spans="1:3" ht="15">
      <c r="A22" s="137"/>
      <c r="B22" s="141" t="s">
        <v>48</v>
      </c>
      <c r="C22" s="200" t="str">
        <f>'1.1 Overzicht'!$I41</f>
        <v>nee</v>
      </c>
    </row>
    <row r="23" spans="1:3" ht="15">
      <c r="A23" s="137"/>
      <c r="B23" s="141" t="s">
        <v>51</v>
      </c>
      <c r="C23" s="223" t="str">
        <f>'1.1 Overzicht'!$I42</f>
        <v>TEO</v>
      </c>
    </row>
    <row r="24" spans="1:3" ht="15">
      <c r="A24" s="137"/>
      <c r="B24" s="141" t="s">
        <v>55</v>
      </c>
      <c r="C24" s="201">
        <f>'1.1 Overzicht'!$I43</f>
        <v>70</v>
      </c>
    </row>
    <row r="25" spans="1:3">
      <c r="A25" s="141"/>
      <c r="B25" s="141"/>
      <c r="C25" s="77"/>
    </row>
    <row r="26" spans="1:3">
      <c r="A26" s="141"/>
      <c r="B26" s="141"/>
      <c r="C26" s="141"/>
    </row>
    <row r="27" spans="1:3">
      <c r="A27" s="141"/>
      <c r="B27" s="141"/>
      <c r="C27" s="77"/>
    </row>
    <row r="28" spans="1:3">
      <c r="A28" s="141"/>
      <c r="B28" s="141"/>
      <c r="C28" s="141"/>
    </row>
    <row r="29" spans="1:3">
      <c r="A29" s="141"/>
      <c r="B29" s="141"/>
      <c r="C29" s="77"/>
    </row>
    <row r="30" spans="1:3">
      <c r="A30" s="141"/>
      <c r="B30" s="141"/>
      <c r="C30" s="141"/>
    </row>
    <row r="31" spans="1:3">
      <c r="A31" s="141"/>
      <c r="B31" s="141"/>
      <c r="C31" s="77"/>
    </row>
    <row r="32" spans="1:3">
      <c r="A32" s="141"/>
      <c r="B32" s="141"/>
      <c r="C32" s="141"/>
    </row>
    <row r="33" spans="3:3">
      <c r="C33" s="145"/>
    </row>
    <row r="34" spans="3:3">
      <c r="C34" s="145"/>
    </row>
    <row r="35" spans="3:3">
      <c r="C35" s="145"/>
    </row>
  </sheetData>
  <phoneticPr fontId="14" type="noConversion"/>
  <pageMargins left="0.7" right="0.7" top="0.75" bottom="0.75" header="0.3" footer="0.3"/>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CB93-2912-4CBE-A52F-CEB19BDA398F}">
  <sheetPr codeName="Blad6">
    <tabColor theme="8" tint="0.79998168889431442"/>
    <pageSetUpPr fitToPage="1"/>
  </sheetPr>
  <dimension ref="A1:E42"/>
  <sheetViews>
    <sheetView topLeftCell="A3" zoomScale="90" zoomScaleNormal="90" workbookViewId="0">
      <selection activeCell="C17" sqref="C17"/>
    </sheetView>
  </sheetViews>
  <sheetFormatPr defaultColWidth="9" defaultRowHeight="12.75"/>
  <cols>
    <col min="1" max="1" width="5" style="71" customWidth="1"/>
    <col min="2" max="2" width="44.140625" style="71" bestFit="1" customWidth="1"/>
    <col min="3" max="3" width="26" style="71" customWidth="1"/>
    <col min="4" max="4" width="35.5703125" style="71" customWidth="1"/>
    <col min="5" max="5" width="43.85546875" style="71" customWidth="1"/>
    <col min="6" max="16384" width="9" style="71"/>
  </cols>
  <sheetData>
    <row r="1" spans="1:5">
      <c r="A1" s="141"/>
      <c r="B1" s="141"/>
      <c r="C1" s="141"/>
      <c r="D1" s="141"/>
      <c r="E1" s="141"/>
    </row>
    <row r="2" spans="1:5" s="65" customFormat="1" ht="15.75">
      <c r="A2" s="141"/>
      <c r="B2" s="61" t="s">
        <v>0</v>
      </c>
      <c r="C2" s="1" t="s">
        <v>1</v>
      </c>
      <c r="D2" s="152"/>
      <c r="E2" s="159"/>
    </row>
    <row r="3" spans="1:5" s="65" customFormat="1" ht="15.75">
      <c r="A3" s="138"/>
      <c r="B3" s="62" t="s">
        <v>2</v>
      </c>
      <c r="C3" s="2" t="s">
        <v>3</v>
      </c>
      <c r="D3" s="204"/>
      <c r="E3" s="160"/>
    </row>
    <row r="4" spans="1:5" s="65" customFormat="1" ht="15">
      <c r="A4" s="81"/>
      <c r="B4" s="63" t="s">
        <v>4</v>
      </c>
      <c r="C4" s="3" t="s">
        <v>13</v>
      </c>
      <c r="D4" s="153"/>
      <c r="E4" s="161"/>
    </row>
    <row r="5" spans="1:5">
      <c r="A5" s="141"/>
      <c r="B5" s="141"/>
      <c r="C5" s="77"/>
      <c r="D5" s="141"/>
      <c r="E5" s="141"/>
    </row>
    <row r="6" spans="1:5">
      <c r="A6" s="141"/>
      <c r="B6" s="14" t="s">
        <v>63</v>
      </c>
      <c r="C6" s="14" t="s">
        <v>60</v>
      </c>
      <c r="D6" s="14" t="s">
        <v>64</v>
      </c>
      <c r="E6" s="14" t="s">
        <v>61</v>
      </c>
    </row>
    <row r="7" spans="1:5">
      <c r="A7" s="141"/>
      <c r="B7" s="141"/>
      <c r="C7" s="141"/>
      <c r="D7" s="141"/>
      <c r="E7" s="141"/>
    </row>
    <row r="8" spans="1:5">
      <c r="A8" s="141"/>
      <c r="B8" s="141" t="s">
        <v>65</v>
      </c>
      <c r="C8" s="82">
        <f>'1.2 Varianten'!C8</f>
        <v>5</v>
      </c>
      <c r="D8" s="141"/>
      <c r="E8" s="141"/>
    </row>
    <row r="9" spans="1:5">
      <c r="A9" s="141"/>
      <c r="B9" s="141" t="s">
        <v>66</v>
      </c>
      <c r="C9" s="82">
        <f>C8*C10</f>
        <v>2.5</v>
      </c>
      <c r="D9" s="141"/>
      <c r="E9" s="141"/>
    </row>
    <row r="10" spans="1:5" s="64" customFormat="1">
      <c r="B10" s="64" t="s">
        <v>67</v>
      </c>
      <c r="C10" s="33">
        <f>1-C12</f>
        <v>0.5</v>
      </c>
      <c r="D10" s="28" t="s">
        <v>68</v>
      </c>
    </row>
    <row r="11" spans="1:5">
      <c r="A11" s="141"/>
      <c r="B11" s="141" t="s">
        <v>69</v>
      </c>
      <c r="C11" s="82">
        <f>C8*C12</f>
        <v>2.5</v>
      </c>
      <c r="D11" s="141"/>
      <c r="E11" s="141"/>
    </row>
    <row r="12" spans="1:5" s="64" customFormat="1" ht="12">
      <c r="B12" s="64" t="str">
        <f>'1.2 Varianten'!B13</f>
        <v>Vermogensaandeel piekvoorziening</v>
      </c>
      <c r="C12" s="33">
        <f>'1.2 Varianten'!C13</f>
        <v>0.5</v>
      </c>
    </row>
    <row r="13" spans="1:5">
      <c r="A13" s="141"/>
      <c r="B13" s="141"/>
      <c r="C13" s="141"/>
      <c r="D13" s="141"/>
      <c r="E13" s="141"/>
    </row>
    <row r="14" spans="1:5">
      <c r="A14" s="141"/>
      <c r="B14" s="141" t="s">
        <v>70</v>
      </c>
      <c r="C14" s="130">
        <f>C8*C21*0.0036</f>
        <v>63</v>
      </c>
      <c r="D14" s="28" t="s">
        <v>71</v>
      </c>
      <c r="E14" s="141"/>
    </row>
    <row r="15" spans="1:5">
      <c r="A15" s="141"/>
      <c r="B15" s="141" t="s">
        <v>72</v>
      </c>
      <c r="C15" s="130">
        <f>C14*C16</f>
        <v>59.371200000000002</v>
      </c>
      <c r="D15" s="141"/>
      <c r="E15" s="141"/>
    </row>
    <row r="16" spans="1:5">
      <c r="A16" s="141"/>
      <c r="B16" s="141" t="s">
        <v>73</v>
      </c>
      <c r="C16" s="118">
        <v>0.94240000000000002</v>
      </c>
      <c r="D16" s="28" t="s">
        <v>68</v>
      </c>
      <c r="E16" s="141"/>
    </row>
    <row r="17" spans="1:4" ht="13.5" customHeight="1">
      <c r="A17" s="141"/>
      <c r="B17" s="16" t="s">
        <v>74</v>
      </c>
      <c r="C17" s="119">
        <f>IF(C27="met WKO",8.54%,94.2%)</f>
        <v>8.539999999999999E-2</v>
      </c>
      <c r="D17" s="28" t="s">
        <v>68</v>
      </c>
    </row>
    <row r="18" spans="1:4">
      <c r="A18" s="141"/>
      <c r="B18" s="16" t="s">
        <v>75</v>
      </c>
      <c r="C18" s="119">
        <f>IF(C27="met WKO",85.7%,0)</f>
        <v>0.85699999999999998</v>
      </c>
      <c r="D18" s="28" t="s">
        <v>68</v>
      </c>
    </row>
    <row r="19" spans="1:4">
      <c r="A19" s="141"/>
      <c r="B19" s="141" t="s">
        <v>76</v>
      </c>
      <c r="C19" s="130">
        <f>C14-C15</f>
        <v>3.6287999999999982</v>
      </c>
      <c r="D19" s="141"/>
    </row>
    <row r="20" spans="1:4">
      <c r="A20" s="141"/>
      <c r="B20" s="84"/>
      <c r="C20" s="141"/>
      <c r="D20" s="141"/>
    </row>
    <row r="21" spans="1:4">
      <c r="A21" s="141"/>
      <c r="B21" s="141" t="s">
        <v>24</v>
      </c>
      <c r="C21" s="19">
        <f>'1.2 Varianten'!C9</f>
        <v>3500</v>
      </c>
      <c r="D21" s="154"/>
    </row>
    <row r="22" spans="1:4">
      <c r="A22" s="141"/>
      <c r="B22" s="141" t="s">
        <v>77</v>
      </c>
      <c r="C22" s="19">
        <f>C19/C11/0.0036</f>
        <v>403.19999999999982</v>
      </c>
      <c r="D22" s="141"/>
    </row>
    <row r="23" spans="1:4">
      <c r="A23" s="141"/>
      <c r="B23" s="141"/>
      <c r="C23" s="85"/>
      <c r="D23" s="141"/>
    </row>
    <row r="24" spans="1:4" hidden="1">
      <c r="A24" s="141"/>
      <c r="B24" s="16" t="s">
        <v>25</v>
      </c>
      <c r="C24" s="86">
        <f>'1.2 Varianten'!C10</f>
        <v>3000</v>
      </c>
      <c r="D24" s="141"/>
    </row>
    <row r="25" spans="1:4">
      <c r="A25" s="141"/>
      <c r="B25" s="141" t="s">
        <v>29</v>
      </c>
      <c r="C25" s="11">
        <f>'1.2 Varianten'!C11</f>
        <v>5</v>
      </c>
      <c r="D25" s="141"/>
    </row>
    <row r="26" spans="1:4">
      <c r="A26" s="141"/>
      <c r="B26" s="141" t="str">
        <f>'1.2 Varianten'!B12</f>
        <v>Elektriciteitsprijs</v>
      </c>
      <c r="C26" s="133">
        <f>'1.2 Varianten'!C12</f>
        <v>68</v>
      </c>
      <c r="D26" s="141"/>
    </row>
    <row r="27" spans="1:4">
      <c r="A27" s="141"/>
      <c r="B27" s="141" t="str">
        <f>'1.2 Varianten'!B14</f>
        <v>Impact WKO</v>
      </c>
      <c r="C27" s="87" t="str">
        <f>'1.2 Varianten'!C14</f>
        <v>met WKO</v>
      </c>
      <c r="D27" s="141"/>
    </row>
    <row r="28" spans="1:4">
      <c r="A28" s="141"/>
      <c r="B28" s="141"/>
      <c r="C28" s="141"/>
      <c r="D28" s="141"/>
    </row>
    <row r="29" spans="1:4">
      <c r="A29" s="141"/>
      <c r="B29" s="93" t="s">
        <v>78</v>
      </c>
      <c r="C29" s="93" t="s">
        <v>60</v>
      </c>
      <c r="D29" s="155"/>
    </row>
    <row r="30" spans="1:4">
      <c r="A30" s="141"/>
      <c r="B30" s="141"/>
      <c r="C30" s="141"/>
      <c r="D30" s="141"/>
    </row>
    <row r="31" spans="1:4">
      <c r="A31" s="141"/>
      <c r="B31" s="141" t="s">
        <v>65</v>
      </c>
      <c r="C31" s="156">
        <f>C8</f>
        <v>5</v>
      </c>
      <c r="D31" s="141"/>
    </row>
    <row r="32" spans="1:4">
      <c r="A32" s="141"/>
      <c r="B32" s="141" t="s">
        <v>66</v>
      </c>
      <c r="C32" s="156">
        <f>C8*(1-C12)</f>
        <v>2.5</v>
      </c>
      <c r="D32" s="141"/>
    </row>
    <row r="33" spans="1:3" s="16" customFormat="1">
      <c r="B33" s="141" t="s">
        <v>79</v>
      </c>
      <c r="C33" s="156">
        <f>C8*(C12)</f>
        <v>2.5</v>
      </c>
    </row>
    <row r="34" spans="1:3">
      <c r="A34" s="141"/>
      <c r="B34" s="141"/>
      <c r="C34" s="156"/>
    </row>
    <row r="35" spans="1:3">
      <c r="A35" s="141"/>
      <c r="B35" s="141"/>
      <c r="C35" s="141"/>
    </row>
    <row r="36" spans="1:3">
      <c r="A36" s="141"/>
      <c r="B36" s="51" t="s">
        <v>70</v>
      </c>
      <c r="C36" s="83">
        <f>C14</f>
        <v>63</v>
      </c>
    </row>
    <row r="37" spans="1:3">
      <c r="A37" s="141"/>
      <c r="B37" s="141" t="s">
        <v>72</v>
      </c>
      <c r="C37" s="83">
        <f>C15</f>
        <v>59.371200000000002</v>
      </c>
    </row>
    <row r="38" spans="1:3">
      <c r="A38" s="141"/>
      <c r="B38" s="16" t="s">
        <v>80</v>
      </c>
      <c r="C38" s="88">
        <f>C14*C17</f>
        <v>5.3801999999999994</v>
      </c>
    </row>
    <row r="39" spans="1:3" s="16" customFormat="1">
      <c r="B39" s="16" t="s">
        <v>81</v>
      </c>
      <c r="C39" s="88">
        <f>C14*(C18)*IF(C27="met WKO",1,0)</f>
        <v>53.991</v>
      </c>
    </row>
    <row r="40" spans="1:3" s="16" customFormat="1">
      <c r="B40" s="141" t="s">
        <v>82</v>
      </c>
      <c r="C40" s="83">
        <f>C36-C37</f>
        <v>3.6287999999999982</v>
      </c>
    </row>
    <row r="41" spans="1:3">
      <c r="A41" s="141"/>
      <c r="B41" s="141"/>
      <c r="C41" s="83"/>
    </row>
    <row r="42" spans="1:3">
      <c r="A42" s="141"/>
      <c r="B42" s="141"/>
      <c r="C42" s="157"/>
    </row>
  </sheetData>
  <pageMargins left="0.7" right="0.7" top="0.75" bottom="0.75" header="0.3" footer="0.3"/>
  <pageSetup paperSize="9" scale="5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84EB-6C45-4E97-941F-F1963D8EA98E}">
  <sheetPr codeName="Blad9">
    <tabColor theme="8" tint="0.79998168889431442"/>
  </sheetPr>
  <dimension ref="A1:Y171"/>
  <sheetViews>
    <sheetView zoomScale="85" zoomScaleNormal="85" workbookViewId="0">
      <pane xSplit="3" ySplit="7" topLeftCell="D8" activePane="bottomRight" state="frozen"/>
      <selection pane="topRight" sqref="A1:XFD40"/>
      <selection pane="bottomLeft" sqref="A1:XFD40"/>
      <selection pane="bottomRight" activeCell="C113" sqref="C113"/>
    </sheetView>
  </sheetViews>
  <sheetFormatPr defaultColWidth="9" defaultRowHeight="12.75"/>
  <cols>
    <col min="1" max="1" width="5" style="37" customWidth="1"/>
    <col min="2" max="2" width="47" style="38" bestFit="1" customWidth="1"/>
    <col min="3" max="3" width="22" style="41" customWidth="1"/>
    <col min="4" max="4" width="35.85546875" style="38" customWidth="1"/>
    <col min="5" max="16384" width="9" style="37"/>
  </cols>
  <sheetData>
    <row r="1" spans="1:25">
      <c r="A1" s="140"/>
      <c r="B1" s="158"/>
      <c r="C1" s="141"/>
      <c r="D1" s="158"/>
      <c r="E1" s="140"/>
      <c r="F1" s="140"/>
      <c r="G1" s="140"/>
      <c r="H1" s="140"/>
      <c r="I1" s="140"/>
      <c r="J1" s="140"/>
      <c r="K1" s="140"/>
      <c r="L1" s="140"/>
      <c r="M1" s="140"/>
      <c r="N1" s="140"/>
      <c r="O1" s="140"/>
      <c r="P1" s="140"/>
      <c r="Q1" s="140"/>
      <c r="R1" s="140"/>
      <c r="S1" s="140"/>
      <c r="T1" s="140"/>
      <c r="U1" s="140"/>
      <c r="V1" s="140"/>
      <c r="W1" s="140"/>
      <c r="X1" s="140"/>
      <c r="Y1" s="140"/>
    </row>
    <row r="2" spans="1:25" s="35" customFormat="1" ht="15.75">
      <c r="A2" s="139"/>
      <c r="B2" s="61" t="s">
        <v>0</v>
      </c>
      <c r="C2" s="1" t="s">
        <v>1</v>
      </c>
      <c r="D2" s="159"/>
      <c r="E2" s="140"/>
      <c r="F2" s="140"/>
      <c r="G2" s="140"/>
      <c r="H2" s="140"/>
      <c r="I2" s="140"/>
      <c r="J2" s="140"/>
      <c r="K2" s="140"/>
      <c r="L2" s="140"/>
      <c r="M2" s="140"/>
      <c r="N2" s="140"/>
      <c r="O2" s="140"/>
      <c r="P2" s="140"/>
      <c r="Q2" s="140"/>
      <c r="R2" s="140"/>
      <c r="S2" s="140"/>
      <c r="T2" s="140"/>
      <c r="U2" s="140"/>
      <c r="V2" s="140"/>
      <c r="W2" s="139"/>
      <c r="X2" s="139"/>
      <c r="Y2" s="139"/>
    </row>
    <row r="3" spans="1:25" s="35" customFormat="1" ht="15.75">
      <c r="A3" s="139"/>
      <c r="B3" s="62" t="s">
        <v>2</v>
      </c>
      <c r="C3" s="2" t="s">
        <v>3</v>
      </c>
      <c r="D3" s="160"/>
      <c r="E3" s="140"/>
      <c r="F3" s="140"/>
      <c r="G3" s="140"/>
      <c r="H3" s="140"/>
      <c r="I3" s="140"/>
      <c r="J3" s="140"/>
      <c r="K3" s="140"/>
      <c r="L3" s="140"/>
      <c r="M3" s="140"/>
      <c r="N3" s="140"/>
      <c r="O3" s="140"/>
      <c r="P3" s="140"/>
      <c r="Q3" s="140"/>
      <c r="R3" s="140"/>
      <c r="S3" s="140"/>
      <c r="T3" s="140"/>
      <c r="U3" s="140"/>
      <c r="V3" s="140"/>
      <c r="W3" s="139"/>
      <c r="X3" s="139"/>
      <c r="Y3" s="139"/>
    </row>
    <row r="4" spans="1:25" s="35" customFormat="1" ht="15">
      <c r="A4" s="139"/>
      <c r="B4" s="63" t="s">
        <v>4</v>
      </c>
      <c r="C4" s="3" t="s">
        <v>83</v>
      </c>
      <c r="D4" s="161"/>
      <c r="E4" s="140"/>
      <c r="F4" s="140"/>
      <c r="G4" s="140"/>
      <c r="H4" s="140"/>
      <c r="I4" s="140"/>
      <c r="J4" s="140"/>
      <c r="K4" s="140"/>
      <c r="L4" s="140"/>
      <c r="M4" s="140"/>
      <c r="N4" s="140"/>
      <c r="O4" s="140"/>
      <c r="P4" s="140"/>
      <c r="Q4" s="140"/>
      <c r="R4" s="140"/>
      <c r="S4" s="140"/>
      <c r="T4" s="140"/>
      <c r="U4" s="140"/>
      <c r="V4" s="140"/>
      <c r="W4" s="139"/>
      <c r="X4" s="139"/>
      <c r="Y4" s="139"/>
    </row>
    <row r="5" spans="1:25">
      <c r="A5" s="140"/>
      <c r="B5" s="158"/>
      <c r="C5" s="141"/>
      <c r="D5" s="158"/>
      <c r="E5" s="140"/>
      <c r="F5" s="140"/>
      <c r="G5" s="140"/>
      <c r="H5" s="140"/>
      <c r="I5" s="140"/>
      <c r="J5" s="140"/>
      <c r="K5" s="140"/>
      <c r="L5" s="140"/>
      <c r="M5" s="140"/>
      <c r="N5" s="140"/>
      <c r="O5" s="140"/>
      <c r="P5" s="140"/>
      <c r="Q5" s="140"/>
      <c r="R5" s="140"/>
      <c r="S5" s="140"/>
      <c r="T5" s="140"/>
      <c r="U5" s="140"/>
      <c r="V5" s="140"/>
      <c r="W5" s="140"/>
      <c r="X5" s="140"/>
      <c r="Y5" s="140"/>
    </row>
    <row r="6" spans="1:25">
      <c r="A6" s="140"/>
      <c r="B6" s="5" t="s">
        <v>21</v>
      </c>
      <c r="C6" s="89" t="s">
        <v>60</v>
      </c>
      <c r="D6" s="5" t="s">
        <v>84</v>
      </c>
      <c r="E6" s="140"/>
      <c r="F6" s="140"/>
      <c r="G6" s="140"/>
      <c r="H6" s="140"/>
      <c r="I6" s="140"/>
      <c r="J6" s="140"/>
      <c r="K6" s="140"/>
      <c r="L6" s="140"/>
      <c r="M6" s="140"/>
      <c r="N6" s="140"/>
      <c r="O6" s="140"/>
      <c r="P6" s="140"/>
      <c r="Q6" s="140"/>
      <c r="R6" s="140"/>
      <c r="S6" s="140"/>
      <c r="T6" s="140"/>
      <c r="U6" s="140"/>
      <c r="V6" s="140"/>
      <c r="W6" s="140"/>
      <c r="X6" s="140"/>
      <c r="Y6" s="140"/>
    </row>
    <row r="7" spans="1:25">
      <c r="A7" s="140"/>
      <c r="B7" s="158"/>
      <c r="C7" s="141"/>
      <c r="D7" s="158"/>
      <c r="E7" s="140"/>
      <c r="F7" s="140"/>
      <c r="G7" s="140"/>
      <c r="H7" s="140"/>
      <c r="I7" s="140"/>
      <c r="J7" s="140"/>
      <c r="K7" s="140"/>
      <c r="L7" s="140"/>
      <c r="M7" s="140"/>
      <c r="N7" s="140"/>
      <c r="O7" s="140"/>
      <c r="P7" s="140"/>
      <c r="Q7" s="140"/>
      <c r="R7" s="140"/>
      <c r="S7" s="140"/>
      <c r="T7" s="140"/>
      <c r="U7" s="140"/>
      <c r="V7" s="140"/>
      <c r="W7" s="140"/>
      <c r="X7" s="140"/>
      <c r="Y7" s="140"/>
    </row>
    <row r="8" spans="1:25" s="41" customFormat="1">
      <c r="A8" s="141"/>
      <c r="B8" s="162" t="str">
        <f>'1.2 Varianten'!B8</f>
        <v>Vermogen afnemer</v>
      </c>
      <c r="C8" s="8">
        <f>'1.2 Varianten'!C8</f>
        <v>5</v>
      </c>
      <c r="D8" s="158"/>
      <c r="E8" s="141"/>
      <c r="F8" s="141"/>
      <c r="G8" s="141"/>
      <c r="H8" s="141"/>
      <c r="I8" s="141"/>
      <c r="J8" s="141"/>
      <c r="K8" s="141"/>
      <c r="L8" s="141"/>
      <c r="M8" s="141"/>
      <c r="N8" s="141"/>
      <c r="O8" s="141"/>
      <c r="P8" s="141"/>
      <c r="Q8" s="141"/>
      <c r="R8" s="141"/>
      <c r="S8" s="141"/>
      <c r="T8" s="141"/>
      <c r="U8" s="141"/>
      <c r="V8" s="141"/>
      <c r="W8" s="141"/>
      <c r="X8" s="141"/>
      <c r="Y8" s="141"/>
    </row>
    <row r="9" spans="1:25" s="41" customFormat="1">
      <c r="A9" s="141"/>
      <c r="B9" s="162" t="str">
        <f>'1.2 Varianten'!B9</f>
        <v>Vollasturen warmtenet</v>
      </c>
      <c r="C9" s="9">
        <f>'1.2 Varianten'!C9</f>
        <v>3500</v>
      </c>
      <c r="D9" s="158"/>
      <c r="E9" s="141"/>
      <c r="F9" s="141"/>
      <c r="G9" s="141"/>
      <c r="H9" s="141"/>
      <c r="I9" s="141"/>
      <c r="J9" s="141"/>
      <c r="K9" s="141"/>
      <c r="L9" s="141"/>
      <c r="M9" s="141"/>
      <c r="N9" s="141"/>
      <c r="O9" s="141"/>
      <c r="P9" s="141"/>
      <c r="Q9" s="141"/>
      <c r="R9" s="141"/>
      <c r="S9" s="141"/>
      <c r="T9" s="141"/>
      <c r="U9" s="141"/>
      <c r="V9" s="141"/>
      <c r="W9" s="141"/>
      <c r="X9" s="141"/>
      <c r="Y9" s="141"/>
    </row>
    <row r="10" spans="1:25">
      <c r="A10" s="140"/>
      <c r="B10" s="162" t="str">
        <f>'1.2 Varianten'!B10</f>
        <v>Vollasturen aquathermie systeem</v>
      </c>
      <c r="C10" s="9">
        <f>'1.2 Varianten'!C10</f>
        <v>3000</v>
      </c>
      <c r="D10" s="158"/>
      <c r="E10" s="140"/>
      <c r="F10" s="140"/>
      <c r="G10" s="140"/>
      <c r="H10" s="140"/>
      <c r="I10" s="140"/>
      <c r="J10" s="140"/>
      <c r="K10" s="140"/>
      <c r="L10" s="140"/>
      <c r="M10" s="140"/>
      <c r="N10" s="140"/>
      <c r="O10" s="140"/>
      <c r="P10" s="140"/>
      <c r="Q10" s="140"/>
      <c r="R10" s="140"/>
      <c r="S10" s="140"/>
      <c r="T10" s="140"/>
      <c r="U10" s="140"/>
      <c r="V10" s="140"/>
      <c r="W10" s="140"/>
      <c r="X10" s="140"/>
      <c r="Y10" s="140"/>
    </row>
    <row r="11" spans="1:25">
      <c r="A11" s="140"/>
      <c r="B11" s="162" t="str">
        <f>'1.2 Varianten'!B11</f>
        <v>Temperatuurtraject aquathermie systeem (deltaT)</v>
      </c>
      <c r="C11" s="11">
        <f>'1.2 Varianten'!C11</f>
        <v>5</v>
      </c>
      <c r="D11" s="158"/>
      <c r="E11" s="140"/>
      <c r="F11" s="140"/>
      <c r="G11" s="140"/>
      <c r="H11" s="140"/>
      <c r="I11" s="140"/>
      <c r="J11" s="140"/>
      <c r="K11" s="140"/>
      <c r="L11" s="140"/>
      <c r="M11" s="140"/>
      <c r="N11" s="140"/>
      <c r="O11" s="140"/>
      <c r="P11" s="140"/>
      <c r="Q11" s="140"/>
      <c r="R11" s="140"/>
      <c r="S11" s="140"/>
      <c r="T11" s="140"/>
      <c r="U11" s="140"/>
      <c r="V11" s="140"/>
      <c r="W11" s="140"/>
      <c r="X11" s="140"/>
      <c r="Y11" s="140"/>
    </row>
    <row r="12" spans="1:25" s="41" customFormat="1">
      <c r="A12" s="141"/>
      <c r="B12" s="162" t="str">
        <f>'1.2 Varianten'!B12</f>
        <v>Elektriciteitsprijs</v>
      </c>
      <c r="C12" s="133">
        <f>'1.2 Varianten'!C12</f>
        <v>68</v>
      </c>
      <c r="D12" s="141"/>
      <c r="E12" s="141"/>
      <c r="F12" s="141"/>
      <c r="G12" s="141"/>
      <c r="H12" s="141"/>
      <c r="I12" s="141"/>
      <c r="J12" s="141"/>
      <c r="K12" s="141"/>
      <c r="L12" s="141"/>
      <c r="M12" s="141"/>
      <c r="N12" s="141"/>
      <c r="O12" s="141"/>
      <c r="P12" s="141"/>
      <c r="Q12" s="141"/>
      <c r="R12" s="141"/>
      <c r="S12" s="141"/>
      <c r="T12" s="141"/>
      <c r="U12" s="141"/>
      <c r="V12" s="141"/>
      <c r="W12" s="141"/>
      <c r="X12" s="141"/>
      <c r="Y12" s="141"/>
    </row>
    <row r="13" spans="1:25" s="41" customFormat="1">
      <c r="A13" s="141"/>
      <c r="B13" s="162" t="str">
        <f>'1.2 Varianten'!B13</f>
        <v>Vermogensaandeel piekvoorziening</v>
      </c>
      <c r="C13" s="10">
        <f>'1.2 Varianten'!C13</f>
        <v>0.5</v>
      </c>
      <c r="D13" s="158"/>
      <c r="E13" s="141"/>
      <c r="F13" s="141"/>
      <c r="G13" s="141"/>
      <c r="H13" s="141"/>
      <c r="I13" s="141"/>
      <c r="J13" s="141"/>
      <c r="K13" s="141"/>
      <c r="L13" s="141"/>
      <c r="M13" s="141"/>
      <c r="N13" s="141"/>
      <c r="O13" s="141"/>
      <c r="P13" s="141"/>
      <c r="Q13" s="141"/>
      <c r="R13" s="141"/>
      <c r="S13" s="141"/>
      <c r="T13" s="141"/>
      <c r="U13" s="141"/>
      <c r="V13" s="141"/>
      <c r="W13" s="141"/>
      <c r="X13" s="141"/>
      <c r="Y13" s="141"/>
    </row>
    <row r="14" spans="1:25" s="41" customFormat="1">
      <c r="A14" s="141"/>
      <c r="B14" s="162" t="str">
        <f>'1.2 Varianten'!B14</f>
        <v>Impact WKO</v>
      </c>
      <c r="C14" s="8" t="str">
        <f>'1.2 Varianten'!C14</f>
        <v>met WKO</v>
      </c>
      <c r="D14" s="158"/>
      <c r="E14" s="141"/>
      <c r="F14" s="141"/>
      <c r="G14" s="141"/>
      <c r="H14" s="141"/>
      <c r="I14" s="141"/>
      <c r="J14" s="141"/>
      <c r="K14" s="141"/>
      <c r="L14" s="141"/>
      <c r="M14" s="141"/>
      <c r="N14" s="141"/>
      <c r="O14" s="141"/>
      <c r="P14" s="141"/>
      <c r="Q14" s="141"/>
      <c r="R14" s="141"/>
      <c r="S14" s="141"/>
      <c r="T14" s="141"/>
      <c r="U14" s="141"/>
      <c r="V14" s="141"/>
      <c r="W14" s="141"/>
      <c r="X14" s="141"/>
      <c r="Y14" s="141"/>
    </row>
    <row r="15" spans="1:25" s="41" customFormat="1">
      <c r="A15" s="141"/>
      <c r="B15" s="162" t="str">
        <f>'1.2 Varianten'!B15</f>
        <v>WKO opslagcapaciteit per brondoublet</v>
      </c>
      <c r="C15" s="12">
        <f>'1.2 Varianten'!C15</f>
        <v>90</v>
      </c>
      <c r="D15" s="158"/>
      <c r="E15" s="141"/>
      <c r="F15" s="141"/>
      <c r="G15" s="141"/>
      <c r="H15" s="141"/>
      <c r="I15" s="141"/>
      <c r="J15" s="141"/>
      <c r="K15" s="141"/>
      <c r="L15" s="141"/>
      <c r="M15" s="141"/>
      <c r="N15" s="141"/>
      <c r="O15" s="141"/>
      <c r="P15" s="141"/>
      <c r="Q15" s="141"/>
      <c r="R15" s="141"/>
      <c r="S15" s="141"/>
      <c r="T15" s="141"/>
      <c r="U15" s="141"/>
      <c r="V15" s="141"/>
      <c r="W15" s="141"/>
      <c r="X15" s="141"/>
      <c r="Y15" s="141"/>
    </row>
    <row r="16" spans="1:25" s="41" customFormat="1">
      <c r="A16" s="141"/>
      <c r="B16" s="162" t="str">
        <f>'1.2 Varianten'!B16</f>
        <v>Diepte WKO bronnen</v>
      </c>
      <c r="C16" s="13">
        <f>'1.2 Varianten'!C16</f>
        <v>150</v>
      </c>
      <c r="D16" s="158"/>
      <c r="E16" s="141"/>
      <c r="F16" s="141"/>
      <c r="G16" s="141"/>
      <c r="H16" s="141"/>
      <c r="I16" s="141"/>
      <c r="J16" s="141"/>
      <c r="K16" s="141"/>
      <c r="L16" s="141"/>
      <c r="M16" s="141"/>
      <c r="N16" s="141"/>
      <c r="O16" s="141"/>
      <c r="P16" s="141"/>
      <c r="Q16" s="141"/>
      <c r="R16" s="141"/>
      <c r="S16" s="141"/>
      <c r="T16" s="141"/>
      <c r="U16" s="141"/>
      <c r="V16" s="141"/>
      <c r="W16" s="141"/>
      <c r="X16" s="141"/>
      <c r="Y16" s="141"/>
    </row>
    <row r="17" spans="1:4" s="41" customFormat="1">
      <c r="A17" s="141"/>
      <c r="B17" s="162" t="str">
        <f>'1.2 Varianten'!B17</f>
        <v>Leidingwerk tussen aquathermie en TR</v>
      </c>
      <c r="C17" s="13">
        <f>'1.2 Varianten'!C17</f>
        <v>500</v>
      </c>
      <c r="D17" s="158"/>
    </row>
    <row r="18" spans="1:4" s="41" customFormat="1">
      <c r="A18" s="141"/>
      <c r="B18" s="162" t="str">
        <f>'1.2 Varianten'!B18</f>
        <v>Leidingwerk tussen bronnen en TR</v>
      </c>
      <c r="C18" s="13">
        <f>'1.2 Varianten'!C18</f>
        <v>500</v>
      </c>
      <c r="D18" s="158"/>
    </row>
    <row r="19" spans="1:4" s="41" customFormat="1">
      <c r="A19" s="141"/>
      <c r="B19" s="162" t="str">
        <f>'1.2 Varianten'!B19</f>
        <v>Situatie onttrekking</v>
      </c>
      <c r="C19" s="8" t="str">
        <f>'1.2 Varianten'!C19</f>
        <v>stedelijk</v>
      </c>
      <c r="D19" s="158"/>
    </row>
    <row r="20" spans="1:4" s="41" customFormat="1">
      <c r="A20" s="141"/>
      <c r="B20" s="162" t="str">
        <f>'1.2 Varianten'!B20</f>
        <v>Energiekosten (inflatie)</v>
      </c>
      <c r="C20" s="10">
        <f>'1.2 Varianten'!C20</f>
        <v>0.03</v>
      </c>
      <c r="D20" s="158"/>
    </row>
    <row r="21" spans="1:4" s="41" customFormat="1">
      <c r="A21" s="141"/>
      <c r="B21" s="162" t="str">
        <f>'1.2 Varianten'!B21</f>
        <v>Rendementseis</v>
      </c>
      <c r="C21" s="10">
        <f>'1.2 Varianten'!C21</f>
        <v>0.06</v>
      </c>
      <c r="D21" s="158"/>
    </row>
    <row r="22" spans="1:4" s="41" customFormat="1">
      <c r="A22" s="141"/>
      <c r="B22" s="162" t="str">
        <f>'1.2 Varianten'!B22</f>
        <v>Toepassing SDE++ subsidie</v>
      </c>
      <c r="C22" s="8" t="str">
        <f>'1.2 Varianten'!C22</f>
        <v>nee</v>
      </c>
      <c r="D22" s="158"/>
    </row>
    <row r="23" spans="1:4" s="41" customFormat="1">
      <c r="A23" s="141"/>
      <c r="B23" s="162" t="str">
        <f>'1.2 Varianten'!B23</f>
        <v>Variant met TEA/TEO</v>
      </c>
      <c r="C23" s="10" t="str">
        <f>'1.2 Varianten'!C23</f>
        <v>TEO</v>
      </c>
      <c r="D23" s="158"/>
    </row>
    <row r="24" spans="1:4" s="41" customFormat="1">
      <c r="A24" s="141"/>
      <c r="B24" s="162" t="str">
        <f>'1.2 Varianten'!B24</f>
        <v>Aanvoertemperatuur warmtenet</v>
      </c>
      <c r="C24" s="34">
        <f>'1.2 Varianten'!C24</f>
        <v>70</v>
      </c>
      <c r="D24" s="158"/>
    </row>
    <row r="25" spans="1:4">
      <c r="A25" s="140"/>
      <c r="B25" s="158"/>
      <c r="C25" s="15"/>
      <c r="D25" s="158"/>
    </row>
    <row r="26" spans="1:4" s="41" customFormat="1">
      <c r="A26" s="141"/>
      <c r="B26" s="14" t="s">
        <v>78</v>
      </c>
      <c r="C26" s="14" t="s">
        <v>60</v>
      </c>
      <c r="D26" s="91" t="s">
        <v>84</v>
      </c>
    </row>
    <row r="27" spans="1:4">
      <c r="A27" s="140"/>
      <c r="B27" s="158"/>
      <c r="C27" s="140"/>
      <c r="D27" s="158"/>
    </row>
    <row r="28" spans="1:4" s="41" customFormat="1">
      <c r="A28" s="141"/>
      <c r="B28" s="141" t="s">
        <v>65</v>
      </c>
      <c r="C28" s="156">
        <f>'1.3 Energievraag - JBDK'!C31</f>
        <v>5</v>
      </c>
      <c r="D28" s="158"/>
    </row>
    <row r="29" spans="1:4" s="41" customFormat="1">
      <c r="A29" s="141"/>
      <c r="B29" s="141" t="s">
        <v>66</v>
      </c>
      <c r="C29" s="156">
        <f>'1.3 Energievraag - JBDK'!C32</f>
        <v>2.5</v>
      </c>
      <c r="D29" s="158"/>
    </row>
    <row r="30" spans="1:4" s="41" customFormat="1">
      <c r="A30" s="141"/>
      <c r="B30" s="141" t="s">
        <v>79</v>
      </c>
      <c r="C30" s="156">
        <f>'1.3 Energievraag - JBDK'!C33</f>
        <v>2.5</v>
      </c>
      <c r="D30" s="158"/>
    </row>
    <row r="31" spans="1:4">
      <c r="A31" s="140"/>
      <c r="B31" s="158"/>
      <c r="C31" s="140"/>
      <c r="D31" s="158"/>
    </row>
    <row r="32" spans="1:4">
      <c r="A32" s="140"/>
      <c r="B32" s="141" t="s">
        <v>70</v>
      </c>
      <c r="C32" s="17">
        <f>'1.3 Energievraag - JBDK'!C14</f>
        <v>63</v>
      </c>
      <c r="D32" s="158"/>
    </row>
    <row r="33" spans="1:8">
      <c r="A33" s="140"/>
      <c r="B33" s="141" t="s">
        <v>72</v>
      </c>
      <c r="C33" s="17">
        <f>'1.3 Energievraag - JBDK'!C15</f>
        <v>59.371200000000002</v>
      </c>
      <c r="D33" s="158"/>
    </row>
    <row r="34" spans="1:8" s="32" customFormat="1">
      <c r="B34" s="16" t="s">
        <v>85</v>
      </c>
      <c r="C34" s="31">
        <f>'1.3 Energievraag - JBDK'!C38</f>
        <v>5.3801999999999994</v>
      </c>
      <c r="D34" s="28"/>
    </row>
    <row r="35" spans="1:8" s="32" customFormat="1">
      <c r="B35" s="16" t="s">
        <v>86</v>
      </c>
      <c r="C35" s="31">
        <f>'1.3 Energievraag - JBDK'!C39</f>
        <v>53.991</v>
      </c>
      <c r="D35" s="28"/>
    </row>
    <row r="36" spans="1:8">
      <c r="A36" s="140"/>
      <c r="B36" s="141" t="s">
        <v>82</v>
      </c>
      <c r="C36" s="17">
        <f>'1.3 Energievraag - JBDK'!C40</f>
        <v>3.6287999999999982</v>
      </c>
      <c r="D36" s="158"/>
    </row>
    <row r="37" spans="1:8">
      <c r="A37" s="140"/>
      <c r="B37" s="158"/>
      <c r="C37" s="141"/>
      <c r="D37" s="158"/>
    </row>
    <row r="38" spans="1:8">
      <c r="A38" s="140"/>
      <c r="B38" s="18" t="s">
        <v>87</v>
      </c>
      <c r="C38" s="18" t="s">
        <v>60</v>
      </c>
      <c r="D38" s="18" t="s">
        <v>84</v>
      </c>
    </row>
    <row r="39" spans="1:8">
      <c r="A39" s="140"/>
      <c r="B39" s="158"/>
      <c r="C39" s="141"/>
      <c r="D39" s="158"/>
    </row>
    <row r="40" spans="1:8">
      <c r="A40" s="141"/>
      <c r="B40" s="158" t="s">
        <v>88</v>
      </c>
      <c r="C40" s="213">
        <f>70*C28+60</f>
        <v>410</v>
      </c>
      <c r="D40" s="28" t="s">
        <v>68</v>
      </c>
      <c r="H40" s="212"/>
    </row>
    <row r="41" spans="1:8">
      <c r="A41" s="140"/>
      <c r="B41" s="158"/>
      <c r="C41" s="141"/>
      <c r="D41" s="28"/>
    </row>
    <row r="42" spans="1:8">
      <c r="A42" s="140"/>
      <c r="B42" s="163" t="s">
        <v>89</v>
      </c>
      <c r="C42" s="164"/>
      <c r="D42" s="60"/>
    </row>
    <row r="43" spans="1:8">
      <c r="A43" s="140"/>
      <c r="B43" s="158" t="s">
        <v>90</v>
      </c>
      <c r="C43" s="19">
        <f>C9</f>
        <v>3500</v>
      </c>
      <c r="D43" s="28"/>
    </row>
    <row r="44" spans="1:8" ht="12.75" customHeight="1">
      <c r="A44" s="141"/>
      <c r="B44" s="158" t="s">
        <v>91</v>
      </c>
      <c r="C44" s="205">
        <f>IF('1.4 Kenmerken'!C24&gt;55,3,5)</f>
        <v>3</v>
      </c>
      <c r="D44" s="28" t="s">
        <v>68</v>
      </c>
    </row>
    <row r="45" spans="1:8">
      <c r="A45" s="141"/>
      <c r="B45" s="158" t="s">
        <v>92</v>
      </c>
      <c r="C45" s="165">
        <f>C40*(1-C13)/(3/4)</f>
        <v>273.33333333333331</v>
      </c>
      <c r="D45" s="28" t="s">
        <v>68</v>
      </c>
    </row>
    <row r="46" spans="1:8">
      <c r="A46" s="140"/>
      <c r="B46" s="158" t="s">
        <v>93</v>
      </c>
      <c r="C46" s="166">
        <f>C33</f>
        <v>59.371200000000002</v>
      </c>
      <c r="D46" s="28"/>
    </row>
    <row r="47" spans="1:8">
      <c r="A47" s="140"/>
      <c r="B47" s="158" t="s">
        <v>94</v>
      </c>
      <c r="C47" s="166">
        <f>C33/C44</f>
        <v>19.790400000000002</v>
      </c>
      <c r="D47" s="28"/>
    </row>
    <row r="48" spans="1:8">
      <c r="A48" s="140"/>
      <c r="B48" s="158" t="s">
        <v>95</v>
      </c>
      <c r="C48" s="167">
        <f>(C13*C8/C44)*1000</f>
        <v>833.33333333333337</v>
      </c>
      <c r="D48" s="28"/>
    </row>
    <row r="49" spans="1:22">
      <c r="A49" s="140"/>
      <c r="B49" s="158"/>
      <c r="C49" s="141"/>
      <c r="D49" s="28"/>
      <c r="E49" s="140"/>
      <c r="F49" s="140"/>
      <c r="G49" s="140"/>
      <c r="H49" s="140"/>
      <c r="I49" s="140"/>
      <c r="J49" s="140"/>
      <c r="K49" s="140"/>
      <c r="L49" s="140"/>
      <c r="M49" s="140"/>
      <c r="N49" s="140"/>
      <c r="O49" s="140"/>
      <c r="P49" s="140"/>
      <c r="Q49" s="140"/>
      <c r="R49" s="140"/>
      <c r="S49" s="140"/>
      <c r="T49" s="140"/>
      <c r="U49" s="140"/>
      <c r="V49" s="140"/>
    </row>
    <row r="50" spans="1:22">
      <c r="A50" s="140"/>
      <c r="B50" s="158"/>
      <c r="C50" s="167"/>
      <c r="D50" s="28"/>
      <c r="E50" s="140"/>
      <c r="F50" s="140"/>
      <c r="G50" s="140"/>
      <c r="H50" s="140"/>
      <c r="I50" s="140"/>
      <c r="J50" s="140"/>
      <c r="K50" s="140"/>
      <c r="L50" s="140"/>
      <c r="M50" s="140"/>
      <c r="N50" s="140"/>
      <c r="O50" s="140"/>
      <c r="P50" s="140"/>
      <c r="Q50" s="140"/>
      <c r="R50" s="140"/>
      <c r="S50" s="140"/>
      <c r="T50" s="140"/>
      <c r="U50" s="140"/>
      <c r="V50" s="140"/>
    </row>
    <row r="51" spans="1:22">
      <c r="A51" s="140"/>
      <c r="B51" s="163" t="s">
        <v>96</v>
      </c>
      <c r="C51" s="164"/>
      <c r="D51" s="60"/>
      <c r="E51" s="140"/>
      <c r="F51" s="140"/>
      <c r="G51" s="140"/>
      <c r="H51" s="140"/>
      <c r="I51" s="140"/>
      <c r="J51" s="140"/>
      <c r="K51" s="140"/>
      <c r="L51" s="140"/>
      <c r="M51" s="140"/>
      <c r="N51" s="140"/>
      <c r="O51" s="140"/>
      <c r="P51" s="140"/>
      <c r="Q51" s="140"/>
      <c r="R51" s="140"/>
      <c r="S51" s="140"/>
      <c r="T51" s="140"/>
      <c r="U51" s="140"/>
      <c r="V51" s="140"/>
    </row>
    <row r="52" spans="1:22">
      <c r="A52" s="140"/>
      <c r="B52" s="158" t="s">
        <v>97</v>
      </c>
      <c r="C52" s="30">
        <f>(C33*((C44-1)/C44)/C10)/0.0036</f>
        <v>3.6648888888888886</v>
      </c>
      <c r="D52" s="28"/>
      <c r="E52" s="140"/>
      <c r="F52" s="140"/>
      <c r="G52" s="140"/>
      <c r="H52" s="140"/>
      <c r="I52" s="140"/>
      <c r="J52" s="140"/>
      <c r="K52" s="140"/>
      <c r="L52" s="140"/>
      <c r="M52" s="140"/>
      <c r="N52" s="140"/>
      <c r="O52" s="140"/>
      <c r="P52" s="140"/>
      <c r="Q52" s="140"/>
      <c r="R52" s="140"/>
      <c r="S52" s="140"/>
      <c r="T52" s="140"/>
      <c r="U52" s="140"/>
      <c r="V52" s="140"/>
    </row>
    <row r="53" spans="1:22" s="42" customFormat="1">
      <c r="B53" s="43" t="s">
        <v>98</v>
      </c>
      <c r="C53" s="44">
        <f t="shared" ref="C53" si="0">C11</f>
        <v>5</v>
      </c>
      <c r="D53" s="45" t="s">
        <v>68</v>
      </c>
    </row>
    <row r="54" spans="1:22">
      <c r="A54" s="140"/>
      <c r="B54" s="158" t="s">
        <v>99</v>
      </c>
      <c r="C54" s="168">
        <f>C52*1000/(4.2*C53)</f>
        <v>174.5185185185185</v>
      </c>
      <c r="D54" s="28"/>
      <c r="E54" s="140"/>
      <c r="F54" s="140"/>
      <c r="G54" s="140"/>
      <c r="H54" s="140"/>
      <c r="I54" s="140"/>
      <c r="J54" s="140"/>
      <c r="K54" s="140"/>
      <c r="L54" s="140"/>
      <c r="M54" s="140"/>
      <c r="N54" s="140"/>
      <c r="O54" s="140"/>
      <c r="P54" s="140"/>
      <c r="Q54" s="140"/>
      <c r="R54" s="140"/>
      <c r="S54" s="140"/>
      <c r="T54" s="140"/>
      <c r="U54" s="140"/>
      <c r="V54" s="140"/>
    </row>
    <row r="55" spans="1:22">
      <c r="A55" s="140"/>
      <c r="B55" s="158" t="s">
        <v>100</v>
      </c>
      <c r="C55" s="169">
        <f t="shared" ref="C55" si="1">C54*3.6</f>
        <v>628.26666666666665</v>
      </c>
      <c r="D55" s="28"/>
      <c r="E55" s="140"/>
      <c r="F55" s="140"/>
      <c r="G55" s="140"/>
      <c r="H55" s="140"/>
      <c r="I55" s="140"/>
      <c r="J55" s="140"/>
      <c r="K55" s="140"/>
      <c r="L55" s="140"/>
      <c r="M55" s="140"/>
      <c r="N55" s="140"/>
      <c r="O55" s="140"/>
      <c r="P55" s="140"/>
      <c r="Q55" s="140"/>
      <c r="R55" s="140"/>
      <c r="S55" s="140"/>
      <c r="T55" s="140"/>
      <c r="U55" s="140"/>
      <c r="V55" s="140"/>
    </row>
    <row r="56" spans="1:22">
      <c r="A56" s="140"/>
      <c r="B56" s="158"/>
      <c r="C56" s="169"/>
      <c r="D56" s="28"/>
      <c r="E56" s="140"/>
      <c r="F56" s="140"/>
      <c r="G56" s="140"/>
      <c r="H56" s="140"/>
      <c r="I56" s="140"/>
      <c r="J56" s="140"/>
      <c r="K56" s="140"/>
      <c r="L56" s="140"/>
      <c r="M56" s="140"/>
      <c r="N56" s="140"/>
      <c r="O56" s="140"/>
      <c r="P56" s="140"/>
      <c r="Q56" s="140"/>
      <c r="R56" s="140"/>
      <c r="S56" s="140"/>
      <c r="T56" s="140"/>
      <c r="U56" s="140"/>
      <c r="V56" s="140"/>
    </row>
    <row r="57" spans="1:22">
      <c r="A57" s="140"/>
      <c r="B57" s="158" t="s">
        <v>101</v>
      </c>
      <c r="C57" s="166">
        <f>C$46*((C$44-1)/C$44)</f>
        <v>39.580799999999996</v>
      </c>
      <c r="D57" s="28"/>
      <c r="E57" s="140"/>
      <c r="F57" s="140"/>
      <c r="G57" s="140"/>
      <c r="H57" s="140"/>
      <c r="I57" s="140"/>
      <c r="J57" s="140"/>
      <c r="K57" s="140"/>
      <c r="L57" s="140"/>
      <c r="M57" s="140"/>
      <c r="N57" s="140"/>
      <c r="O57" s="140"/>
      <c r="P57" s="140"/>
      <c r="Q57" s="140"/>
      <c r="R57" s="140"/>
      <c r="S57" s="140"/>
      <c r="T57" s="140"/>
      <c r="U57" s="140"/>
      <c r="V57" s="140"/>
    </row>
    <row r="58" spans="1:22">
      <c r="A58" s="141"/>
      <c r="B58" s="158" t="s">
        <v>102</v>
      </c>
      <c r="C58" s="114">
        <v>50</v>
      </c>
      <c r="D58" s="28" t="s">
        <v>68</v>
      </c>
      <c r="E58" s="140"/>
      <c r="F58" s="140"/>
      <c r="G58" s="140"/>
      <c r="H58" s="140"/>
      <c r="I58" s="140"/>
      <c r="J58" s="140"/>
      <c r="K58" s="140"/>
      <c r="L58" s="140"/>
      <c r="M58" s="140"/>
      <c r="N58" s="140"/>
      <c r="O58" s="140"/>
      <c r="P58" s="140"/>
      <c r="Q58" s="140"/>
      <c r="R58" s="140"/>
      <c r="S58" s="140"/>
      <c r="T58" s="140"/>
      <c r="U58" s="140"/>
      <c r="V58" s="140"/>
    </row>
    <row r="59" spans="1:22">
      <c r="A59" s="140"/>
      <c r="B59" s="158" t="s">
        <v>103</v>
      </c>
      <c r="C59" s="166">
        <f t="shared" ref="C59" si="2">(C57*2)/C58</f>
        <v>1.5832319999999998</v>
      </c>
      <c r="D59" s="28"/>
      <c r="E59" s="140"/>
      <c r="F59" s="140"/>
      <c r="G59" s="140"/>
      <c r="H59" s="140"/>
      <c r="I59" s="140"/>
      <c r="J59" s="140"/>
      <c r="K59" s="140"/>
      <c r="L59" s="140"/>
      <c r="M59" s="140"/>
      <c r="N59" s="140"/>
      <c r="O59" s="140"/>
      <c r="P59" s="140"/>
      <c r="Q59" s="140"/>
      <c r="R59" s="140"/>
      <c r="S59" s="140"/>
      <c r="T59" s="140"/>
      <c r="U59" s="140"/>
      <c r="V59" s="140"/>
    </row>
    <row r="60" spans="1:22">
      <c r="A60" s="140"/>
      <c r="B60" s="158"/>
      <c r="C60" s="167"/>
      <c r="D60" s="28"/>
      <c r="E60" s="140"/>
      <c r="F60" s="140"/>
      <c r="G60" s="140"/>
      <c r="H60" s="140"/>
      <c r="I60" s="140"/>
      <c r="J60" s="140"/>
      <c r="K60" s="140"/>
      <c r="L60" s="140"/>
      <c r="M60" s="140"/>
      <c r="N60" s="140"/>
      <c r="O60" s="140"/>
      <c r="P60" s="140"/>
      <c r="Q60" s="140"/>
      <c r="R60" s="140"/>
      <c r="S60" s="140"/>
      <c r="T60" s="140"/>
      <c r="U60" s="140"/>
      <c r="V60" s="140"/>
    </row>
    <row r="61" spans="1:22">
      <c r="A61" s="140"/>
      <c r="B61" s="163" t="s">
        <v>104</v>
      </c>
      <c r="C61" s="164"/>
      <c r="D61" s="60"/>
      <c r="E61" s="140"/>
      <c r="F61" s="140"/>
      <c r="G61" s="140"/>
      <c r="H61" s="140"/>
      <c r="I61" s="140"/>
      <c r="J61" s="140"/>
      <c r="K61" s="140"/>
      <c r="L61" s="140"/>
      <c r="M61" s="140"/>
      <c r="N61" s="140"/>
      <c r="O61" s="140"/>
      <c r="P61" s="140"/>
      <c r="Q61" s="140"/>
      <c r="R61" s="140"/>
      <c r="S61" s="140"/>
      <c r="T61" s="140"/>
      <c r="U61" s="140"/>
      <c r="V61" s="140"/>
    </row>
    <row r="62" spans="1:22">
      <c r="A62" s="140"/>
      <c r="B62" s="158" t="s">
        <v>105</v>
      </c>
      <c r="C62" s="24">
        <f t="shared" ref="C62" si="3">C16</f>
        <v>150</v>
      </c>
      <c r="D62" s="28"/>
      <c r="E62" s="140"/>
      <c r="F62" s="140"/>
      <c r="G62" s="140"/>
      <c r="H62" s="140"/>
      <c r="I62" s="140"/>
      <c r="J62" s="140"/>
      <c r="K62" s="140"/>
      <c r="L62" s="140"/>
      <c r="M62" s="140"/>
      <c r="N62" s="140"/>
      <c r="O62" s="140"/>
      <c r="P62" s="140"/>
      <c r="Q62" s="140"/>
      <c r="R62" s="140"/>
      <c r="S62" s="140"/>
      <c r="T62" s="140"/>
      <c r="U62" s="140"/>
      <c r="V62" s="140"/>
    </row>
    <row r="63" spans="1:22">
      <c r="A63" s="140"/>
      <c r="B63" s="158" t="s">
        <v>106</v>
      </c>
      <c r="C63" s="30">
        <f t="shared" ref="C63" si="4">(1-C13)*C8*((C44-1)/C44)</f>
        <v>1.6666666666666665</v>
      </c>
      <c r="D63" s="28"/>
      <c r="E63" s="140"/>
      <c r="F63" s="140"/>
      <c r="G63" s="140"/>
      <c r="H63" s="140"/>
      <c r="I63" s="140"/>
      <c r="J63" s="140"/>
      <c r="K63" s="140"/>
      <c r="L63" s="140"/>
      <c r="M63" s="140"/>
      <c r="N63" s="140"/>
      <c r="O63" s="140"/>
      <c r="P63" s="140"/>
      <c r="Q63" s="140"/>
      <c r="R63" s="140"/>
      <c r="S63" s="140"/>
      <c r="T63" s="140"/>
      <c r="U63" s="140"/>
      <c r="V63" s="140"/>
    </row>
    <row r="64" spans="1:22">
      <c r="A64" s="140"/>
      <c r="B64" s="158" t="s">
        <v>98</v>
      </c>
      <c r="C64" s="56">
        <f t="shared" ref="C64" si="5">C87</f>
        <v>6</v>
      </c>
      <c r="D64" s="28" t="s">
        <v>68</v>
      </c>
      <c r="E64" s="140"/>
      <c r="F64" s="140"/>
      <c r="G64" s="140"/>
      <c r="H64" s="140"/>
      <c r="I64" s="140"/>
      <c r="J64" s="140"/>
      <c r="K64" s="140"/>
      <c r="L64" s="140"/>
      <c r="M64" s="140"/>
      <c r="N64" s="140"/>
      <c r="O64" s="140"/>
      <c r="P64" s="140"/>
      <c r="Q64" s="140"/>
      <c r="R64" s="140"/>
      <c r="S64" s="140"/>
      <c r="T64" s="140"/>
      <c r="U64" s="140"/>
      <c r="V64" s="140"/>
    </row>
    <row r="65" spans="1:22">
      <c r="A65" s="140"/>
      <c r="B65" s="158" t="s">
        <v>99</v>
      </c>
      <c r="C65" s="168">
        <f>C63*1000/(4.2*C64)</f>
        <v>66.137566137566125</v>
      </c>
      <c r="D65" s="28"/>
      <c r="E65" s="140"/>
      <c r="F65" s="140"/>
      <c r="G65" s="140"/>
      <c r="H65" s="140"/>
      <c r="I65" s="140"/>
      <c r="J65" s="140"/>
      <c r="K65" s="140"/>
      <c r="L65" s="140"/>
      <c r="M65" s="140"/>
      <c r="N65" s="140"/>
      <c r="O65" s="140"/>
      <c r="P65" s="140"/>
      <c r="Q65" s="140"/>
      <c r="R65" s="140"/>
      <c r="S65" s="140"/>
      <c r="T65" s="140"/>
      <c r="U65" s="140"/>
      <c r="V65" s="140"/>
    </row>
    <row r="66" spans="1:22">
      <c r="A66" s="140"/>
      <c r="B66" s="158" t="s">
        <v>107</v>
      </c>
      <c r="C66" s="169">
        <f>C65*3.6</f>
        <v>238.09523809523805</v>
      </c>
      <c r="D66" s="28"/>
      <c r="E66" s="140"/>
      <c r="F66" s="140"/>
      <c r="G66" s="140"/>
      <c r="H66" s="140"/>
      <c r="I66" s="140"/>
      <c r="J66" s="140"/>
      <c r="K66" s="140"/>
      <c r="L66" s="140"/>
      <c r="M66" s="140"/>
      <c r="N66" s="140"/>
      <c r="O66" s="140"/>
      <c r="P66" s="140"/>
      <c r="Q66" s="140"/>
      <c r="R66" s="140"/>
      <c r="S66" s="140"/>
      <c r="T66" s="140"/>
      <c r="U66" s="140"/>
      <c r="V66" s="140"/>
    </row>
    <row r="67" spans="1:22">
      <c r="A67" s="140"/>
      <c r="B67" s="158" t="s">
        <v>108</v>
      </c>
      <c r="C67" s="170">
        <f t="shared" ref="C67" si="6">C15</f>
        <v>90</v>
      </c>
      <c r="D67" s="28"/>
      <c r="E67" s="140"/>
      <c r="F67" s="140"/>
      <c r="G67" s="140"/>
      <c r="H67" s="140"/>
      <c r="I67" s="140"/>
      <c r="J67" s="140"/>
      <c r="K67" s="140"/>
      <c r="L67" s="140"/>
      <c r="M67" s="140"/>
      <c r="N67" s="140"/>
      <c r="O67" s="140"/>
      <c r="P67" s="140"/>
      <c r="Q67" s="140"/>
      <c r="R67" s="140"/>
      <c r="S67" s="140"/>
      <c r="T67" s="140"/>
      <c r="U67" s="140"/>
      <c r="V67" s="140"/>
    </row>
    <row r="68" spans="1:22">
      <c r="A68" s="140"/>
      <c r="B68" s="158" t="s">
        <v>109</v>
      </c>
      <c r="C68" s="141">
        <f>ROUNDUP(C66/C67,0)</f>
        <v>3</v>
      </c>
      <c r="D68" s="28"/>
      <c r="E68" s="140"/>
      <c r="F68" s="140"/>
      <c r="G68" s="140"/>
      <c r="H68" s="140"/>
      <c r="I68" s="140"/>
      <c r="J68" s="140"/>
      <c r="K68" s="140"/>
      <c r="L68" s="140"/>
      <c r="M68" s="140"/>
      <c r="N68" s="140"/>
      <c r="O68" s="140"/>
      <c r="P68" s="140"/>
      <c r="Q68" s="140"/>
      <c r="R68" s="140"/>
      <c r="S68" s="140"/>
      <c r="T68" s="140"/>
      <c r="U68" s="140"/>
      <c r="V68" s="140"/>
    </row>
    <row r="69" spans="1:22">
      <c r="A69" s="140"/>
      <c r="B69" s="158"/>
      <c r="C69" s="141"/>
      <c r="D69" s="28"/>
      <c r="E69" s="140"/>
      <c r="F69" s="140"/>
      <c r="G69" s="140"/>
      <c r="H69" s="140"/>
      <c r="I69" s="140"/>
      <c r="J69" s="140"/>
      <c r="K69" s="140"/>
      <c r="L69" s="140"/>
      <c r="M69" s="140"/>
      <c r="N69" s="140"/>
      <c r="O69" s="140"/>
      <c r="P69" s="140"/>
      <c r="Q69" s="140"/>
      <c r="R69" s="140"/>
      <c r="S69" s="140"/>
      <c r="T69" s="140"/>
      <c r="U69" s="140"/>
      <c r="V69" s="140"/>
    </row>
    <row r="70" spans="1:22">
      <c r="A70" s="140"/>
      <c r="B70" s="158" t="s">
        <v>110</v>
      </c>
      <c r="C70" s="166">
        <f t="shared" ref="C70" si="7">C$46*((C$44-1)/C$44)</f>
        <v>39.580799999999996</v>
      </c>
      <c r="D70" s="28"/>
      <c r="E70" s="140"/>
      <c r="F70" s="140"/>
      <c r="G70" s="140"/>
      <c r="H70" s="140"/>
      <c r="I70" s="140"/>
      <c r="J70" s="140"/>
      <c r="K70" s="140"/>
      <c r="L70" s="140"/>
      <c r="M70" s="140"/>
      <c r="N70" s="140"/>
      <c r="O70" s="140"/>
      <c r="P70" s="140"/>
      <c r="Q70" s="140"/>
      <c r="R70" s="140"/>
      <c r="S70" s="140"/>
      <c r="T70" s="140"/>
      <c r="U70" s="140"/>
      <c r="V70" s="140"/>
    </row>
    <row r="71" spans="1:22">
      <c r="A71" s="141"/>
      <c r="B71" s="158" t="s">
        <v>111</v>
      </c>
      <c r="C71" s="55">
        <v>40</v>
      </c>
      <c r="D71" s="28" t="s">
        <v>68</v>
      </c>
      <c r="E71" s="140"/>
      <c r="F71" s="140"/>
      <c r="G71" s="140"/>
      <c r="H71" s="140"/>
      <c r="I71" s="140"/>
      <c r="J71" s="140"/>
      <c r="K71" s="140"/>
      <c r="L71" s="140"/>
      <c r="M71" s="140"/>
      <c r="N71" s="140"/>
      <c r="O71" s="140"/>
      <c r="P71" s="140"/>
      <c r="Q71" s="140"/>
      <c r="R71" s="140"/>
      <c r="S71" s="140"/>
      <c r="T71" s="140"/>
      <c r="U71" s="140"/>
      <c r="V71" s="140"/>
    </row>
    <row r="72" spans="1:22">
      <c r="A72" s="140"/>
      <c r="B72" s="158" t="s">
        <v>112</v>
      </c>
      <c r="C72" s="166">
        <f t="shared" ref="C72" si="8">(C70*2)/C71</f>
        <v>1.9790399999999999</v>
      </c>
      <c r="D72" s="28"/>
      <c r="E72" s="140"/>
      <c r="F72" s="140"/>
      <c r="G72" s="140"/>
      <c r="H72" s="140"/>
      <c r="I72" s="140"/>
      <c r="J72" s="140"/>
      <c r="K72" s="140"/>
      <c r="L72" s="140"/>
      <c r="M72" s="140"/>
      <c r="N72" s="140"/>
      <c r="O72" s="140"/>
      <c r="P72" s="140"/>
      <c r="Q72" s="140"/>
      <c r="R72" s="140"/>
      <c r="S72" s="140"/>
      <c r="T72" s="140"/>
      <c r="U72" s="140"/>
      <c r="V72" s="140"/>
    </row>
    <row r="73" spans="1:22">
      <c r="A73" s="140"/>
      <c r="B73" s="158"/>
      <c r="C73" s="166"/>
      <c r="D73" s="28"/>
      <c r="E73" s="140"/>
      <c r="F73" s="140"/>
      <c r="G73" s="140"/>
      <c r="H73" s="140"/>
      <c r="I73" s="140"/>
      <c r="J73" s="140"/>
      <c r="K73" s="140"/>
      <c r="L73" s="140"/>
      <c r="M73" s="140"/>
      <c r="N73" s="140"/>
      <c r="O73" s="140"/>
      <c r="P73" s="140"/>
      <c r="Q73" s="140"/>
      <c r="R73" s="140"/>
      <c r="S73" s="140"/>
      <c r="T73" s="140"/>
      <c r="U73" s="140"/>
      <c r="V73" s="140"/>
    </row>
    <row r="74" spans="1:22">
      <c r="A74" s="140"/>
      <c r="B74" s="163" t="s">
        <v>113</v>
      </c>
      <c r="C74" s="164"/>
      <c r="D74" s="60"/>
      <c r="E74" s="140"/>
      <c r="F74" s="140"/>
      <c r="G74" s="140"/>
      <c r="H74" s="140"/>
      <c r="I74" s="140"/>
      <c r="J74" s="140"/>
      <c r="K74" s="140"/>
      <c r="L74" s="140"/>
      <c r="M74" s="140"/>
      <c r="N74" s="140"/>
      <c r="O74" s="140"/>
      <c r="P74" s="140"/>
      <c r="Q74" s="140"/>
      <c r="R74" s="140"/>
      <c r="S74" s="140"/>
      <c r="T74" s="140"/>
      <c r="U74" s="140"/>
      <c r="V74" s="140"/>
    </row>
    <row r="75" spans="1:22">
      <c r="A75" s="140"/>
      <c r="B75" s="158" t="s">
        <v>114</v>
      </c>
      <c r="C75" s="20">
        <f>(C33*((C44-1)/C44)/C10)/0.0036</f>
        <v>3.6648888888888886</v>
      </c>
      <c r="D75" s="28"/>
      <c r="E75" s="140"/>
      <c r="F75" s="140"/>
      <c r="G75" s="140"/>
      <c r="H75" s="140"/>
      <c r="I75" s="140"/>
      <c r="J75" s="140"/>
      <c r="K75" s="140"/>
      <c r="L75" s="140"/>
      <c r="M75" s="140"/>
      <c r="N75" s="140"/>
      <c r="O75" s="140"/>
      <c r="P75" s="140"/>
      <c r="Q75" s="140"/>
      <c r="R75" s="140"/>
      <c r="S75" s="140"/>
      <c r="T75" s="140"/>
      <c r="U75" s="140"/>
      <c r="V75" s="140"/>
    </row>
    <row r="76" spans="1:22">
      <c r="A76" s="140"/>
      <c r="B76" s="158" t="s">
        <v>115</v>
      </c>
      <c r="C76" s="46">
        <f t="shared" ref="C76" si="9">C11</f>
        <v>5</v>
      </c>
      <c r="D76" s="28" t="s">
        <v>68</v>
      </c>
      <c r="E76" s="140"/>
      <c r="F76" s="140"/>
      <c r="G76" s="140"/>
      <c r="H76" s="140"/>
      <c r="I76" s="140"/>
      <c r="J76" s="140"/>
      <c r="K76" s="140"/>
      <c r="L76" s="140"/>
      <c r="M76" s="140"/>
      <c r="N76" s="140"/>
      <c r="O76" s="140"/>
      <c r="P76" s="140"/>
      <c r="Q76" s="140"/>
      <c r="R76" s="140"/>
      <c r="S76" s="140"/>
      <c r="T76" s="140"/>
      <c r="U76" s="140"/>
      <c r="V76" s="140"/>
    </row>
    <row r="77" spans="1:22">
      <c r="A77" s="140"/>
      <c r="B77" s="158" t="s">
        <v>116</v>
      </c>
      <c r="C77" s="21">
        <f>C75*1000/(4.2*C76)</f>
        <v>174.5185185185185</v>
      </c>
      <c r="D77" s="28"/>
      <c r="E77" s="140"/>
      <c r="F77" s="140"/>
      <c r="G77" s="140"/>
      <c r="H77" s="140"/>
      <c r="I77" s="140"/>
      <c r="J77" s="140"/>
      <c r="K77" s="140"/>
      <c r="L77" s="140"/>
      <c r="M77" s="140"/>
      <c r="N77" s="140"/>
      <c r="O77" s="140"/>
      <c r="P77" s="140"/>
      <c r="Q77" s="140"/>
      <c r="R77" s="140"/>
      <c r="S77" s="140"/>
      <c r="T77" s="140"/>
      <c r="U77" s="140"/>
      <c r="V77" s="140"/>
    </row>
    <row r="78" spans="1:22">
      <c r="A78" s="141"/>
      <c r="B78" s="158" t="s">
        <v>117</v>
      </c>
      <c r="C78" s="206" t="s">
        <v>118</v>
      </c>
      <c r="D78" s="28" t="s">
        <v>68</v>
      </c>
      <c r="E78" s="140"/>
      <c r="F78" s="140"/>
      <c r="G78" s="140"/>
      <c r="H78" s="140"/>
      <c r="I78" s="140"/>
      <c r="J78" s="140"/>
      <c r="K78" s="140"/>
      <c r="L78" s="140"/>
      <c r="M78" s="140"/>
      <c r="N78" s="140"/>
      <c r="O78" s="140"/>
      <c r="P78" s="140"/>
      <c r="Q78" s="140"/>
      <c r="R78" s="140"/>
      <c r="S78" s="140"/>
      <c r="T78" s="140"/>
      <c r="U78" s="140"/>
      <c r="V78" s="140"/>
    </row>
    <row r="79" spans="1:22">
      <c r="A79" s="141"/>
      <c r="B79" s="158" t="s">
        <v>120</v>
      </c>
      <c r="C79" s="207">
        <v>121</v>
      </c>
      <c r="D79" s="28" t="s">
        <v>68</v>
      </c>
      <c r="E79" s="140"/>
      <c r="F79" s="140"/>
      <c r="G79" s="140"/>
      <c r="H79" s="140"/>
      <c r="I79" s="140"/>
      <c r="J79" s="140"/>
      <c r="K79" s="140"/>
      <c r="L79" s="140"/>
      <c r="M79" s="140"/>
      <c r="N79" s="140"/>
      <c r="O79" s="140"/>
      <c r="P79" s="140"/>
      <c r="Q79" s="140"/>
      <c r="R79" s="140"/>
      <c r="S79" s="140"/>
      <c r="T79" s="140"/>
      <c r="U79" s="140"/>
      <c r="V79" s="140"/>
    </row>
    <row r="80" spans="1:22">
      <c r="A80" s="140"/>
      <c r="B80" s="158" t="s">
        <v>121</v>
      </c>
      <c r="C80" s="171">
        <f t="shared" ref="C80" si="10">IF(C17="500 m + gestuurde boring",$C$17/1000,C17/1000)</f>
        <v>0.5</v>
      </c>
      <c r="D80" s="28"/>
      <c r="E80" s="140"/>
      <c r="F80" s="140"/>
      <c r="G80" s="140"/>
      <c r="H80" s="140"/>
      <c r="I80" s="140"/>
      <c r="J80" s="140"/>
      <c r="K80" s="140"/>
      <c r="L80" s="140"/>
      <c r="M80" s="140"/>
      <c r="N80" s="140"/>
      <c r="O80" s="140"/>
      <c r="P80" s="140"/>
      <c r="Q80" s="140"/>
      <c r="R80" s="140"/>
      <c r="S80" s="140"/>
      <c r="T80" s="140"/>
      <c r="U80" s="140"/>
      <c r="V80" s="140"/>
    </row>
    <row r="81" spans="1:22">
      <c r="A81" s="140"/>
      <c r="B81" s="158" t="s">
        <v>122</v>
      </c>
      <c r="C81" s="22">
        <f>C80*2*C79*1.1</f>
        <v>133.10000000000002</v>
      </c>
      <c r="D81" s="28"/>
      <c r="E81" s="140"/>
      <c r="F81" s="140"/>
      <c r="G81" s="140"/>
      <c r="H81" s="140"/>
      <c r="I81" s="140"/>
      <c r="J81" s="140"/>
      <c r="K81" s="140"/>
      <c r="L81" s="140"/>
      <c r="M81" s="140"/>
      <c r="N81" s="140"/>
      <c r="O81" s="140"/>
      <c r="P81" s="140"/>
      <c r="Q81" s="140"/>
      <c r="R81" s="140"/>
      <c r="S81" s="140"/>
      <c r="T81" s="140"/>
      <c r="U81" s="140"/>
      <c r="V81" s="140"/>
    </row>
    <row r="82" spans="1:22">
      <c r="A82" s="141"/>
      <c r="B82" s="158" t="s">
        <v>123</v>
      </c>
      <c r="C82" s="48">
        <v>0.75</v>
      </c>
      <c r="D82" s="28" t="s">
        <v>68</v>
      </c>
      <c r="E82" s="140"/>
      <c r="F82" s="140"/>
      <c r="G82" s="140"/>
      <c r="H82" s="140"/>
      <c r="I82" s="140"/>
      <c r="J82" s="140"/>
      <c r="K82" s="140"/>
      <c r="L82" s="140"/>
      <c r="M82" s="140"/>
      <c r="N82" s="140"/>
      <c r="O82" s="140"/>
      <c r="P82" s="140"/>
      <c r="Q82" s="140"/>
      <c r="R82" s="140"/>
      <c r="S82" s="140"/>
      <c r="T82" s="140"/>
      <c r="U82" s="140"/>
      <c r="V82" s="140"/>
    </row>
    <row r="83" spans="1:22">
      <c r="A83" s="140"/>
      <c r="B83" s="158" t="s">
        <v>124</v>
      </c>
      <c r="C83" s="23">
        <f>(C81*C77/1000)/C82</f>
        <v>30.97121975308642</v>
      </c>
      <c r="D83" s="28"/>
      <c r="E83" s="140"/>
      <c r="F83" s="140"/>
      <c r="G83" s="140"/>
      <c r="H83" s="140"/>
      <c r="I83" s="140"/>
      <c r="J83" s="140"/>
      <c r="K83" s="140"/>
      <c r="L83" s="140"/>
      <c r="M83" s="140"/>
      <c r="N83" s="140"/>
      <c r="O83" s="140"/>
      <c r="P83" s="140"/>
      <c r="Q83" s="140"/>
      <c r="R83" s="140"/>
      <c r="S83" s="140"/>
      <c r="T83" s="140"/>
      <c r="U83" s="140"/>
      <c r="V83" s="140"/>
    </row>
    <row r="84" spans="1:22">
      <c r="A84" s="141"/>
      <c r="B84" s="158" t="s">
        <v>125</v>
      </c>
      <c r="C84" s="19">
        <v>55</v>
      </c>
      <c r="D84" s="28" t="s">
        <v>68</v>
      </c>
      <c r="E84" s="140"/>
      <c r="F84" s="140"/>
      <c r="G84" s="140"/>
      <c r="H84" s="140"/>
      <c r="I84" s="140"/>
      <c r="J84" s="140"/>
      <c r="K84" s="140"/>
      <c r="L84" s="140"/>
      <c r="M84" s="140"/>
      <c r="N84" s="140"/>
      <c r="O84" s="140"/>
      <c r="P84" s="140"/>
      <c r="Q84" s="140"/>
      <c r="R84" s="140"/>
      <c r="S84" s="140"/>
      <c r="T84" s="140"/>
      <c r="U84" s="140"/>
      <c r="V84" s="140"/>
    </row>
    <row r="85" spans="1:22">
      <c r="A85" s="140"/>
      <c r="B85" s="158"/>
      <c r="C85" s="167"/>
      <c r="D85" s="28"/>
      <c r="E85" s="140"/>
      <c r="F85" s="140"/>
      <c r="G85" s="140"/>
      <c r="H85" s="140"/>
      <c r="I85" s="140"/>
      <c r="J85" s="140"/>
      <c r="K85" s="140"/>
      <c r="L85" s="140"/>
      <c r="M85" s="140"/>
      <c r="N85" s="140"/>
      <c r="O85" s="140"/>
      <c r="P85" s="140"/>
      <c r="Q85" s="140"/>
      <c r="R85" s="140"/>
      <c r="S85" s="140"/>
      <c r="T85" s="140"/>
      <c r="U85" s="140"/>
      <c r="V85" s="140"/>
    </row>
    <row r="86" spans="1:22">
      <c r="A86" s="140"/>
      <c r="B86" s="158" t="s">
        <v>126</v>
      </c>
      <c r="C86" s="20">
        <f t="shared" ref="C86" si="11">C29*((C44-1)/C44)</f>
        <v>1.6666666666666665</v>
      </c>
      <c r="D86" s="28"/>
      <c r="E86" s="140"/>
      <c r="F86" s="140"/>
      <c r="G86" s="140"/>
      <c r="H86" s="140"/>
      <c r="I86" s="140"/>
      <c r="J86" s="140"/>
      <c r="K86" s="140"/>
      <c r="L86" s="140"/>
      <c r="M86" s="140"/>
      <c r="N86" s="140"/>
      <c r="O86" s="140"/>
      <c r="P86" s="140"/>
      <c r="Q86" s="140"/>
      <c r="R86" s="140"/>
      <c r="S86" s="140"/>
      <c r="T86" s="140"/>
      <c r="U86" s="140"/>
      <c r="V86" s="140"/>
    </row>
    <row r="87" spans="1:22">
      <c r="A87" s="141"/>
      <c r="B87" s="158" t="s">
        <v>127</v>
      </c>
      <c r="C87" s="59">
        <v>6</v>
      </c>
      <c r="D87" s="28" t="s">
        <v>68</v>
      </c>
      <c r="E87" s="140"/>
      <c r="F87" s="140"/>
      <c r="G87" s="140"/>
      <c r="H87" s="140"/>
      <c r="I87" s="140"/>
      <c r="J87" s="140"/>
      <c r="K87" s="140"/>
      <c r="L87" s="140"/>
      <c r="M87" s="140"/>
      <c r="N87" s="140"/>
      <c r="O87" s="140"/>
      <c r="P87" s="140"/>
      <c r="Q87" s="140"/>
      <c r="R87" s="140"/>
      <c r="S87" s="140"/>
      <c r="T87" s="140"/>
      <c r="U87" s="140"/>
      <c r="V87" s="140"/>
    </row>
    <row r="88" spans="1:22">
      <c r="A88" s="140"/>
      <c r="B88" s="158" t="s">
        <v>128</v>
      </c>
      <c r="C88" s="20">
        <f t="shared" ref="C88" si="12">C52</f>
        <v>3.6648888888888886</v>
      </c>
      <c r="D88" s="28"/>
      <c r="E88" s="140"/>
      <c r="F88" s="140"/>
      <c r="G88" s="140"/>
      <c r="H88" s="140"/>
      <c r="I88" s="140"/>
      <c r="J88" s="140"/>
      <c r="K88" s="140"/>
      <c r="L88" s="140"/>
      <c r="M88" s="140"/>
      <c r="N88" s="140"/>
      <c r="O88" s="140"/>
      <c r="P88" s="140"/>
      <c r="Q88" s="140"/>
      <c r="R88" s="140"/>
      <c r="S88" s="140"/>
      <c r="T88" s="140"/>
      <c r="U88" s="140"/>
      <c r="V88" s="140"/>
    </row>
    <row r="89" spans="1:22">
      <c r="A89" s="140"/>
      <c r="B89" s="158" t="s">
        <v>129</v>
      </c>
      <c r="C89" s="59">
        <v>10</v>
      </c>
      <c r="D89" s="28"/>
      <c r="E89" s="140"/>
      <c r="F89" s="140"/>
      <c r="G89" s="140"/>
      <c r="H89" s="140"/>
      <c r="I89" s="140"/>
      <c r="J89" s="140"/>
      <c r="K89" s="140"/>
      <c r="L89" s="140"/>
      <c r="M89" s="140"/>
      <c r="N89" s="140"/>
      <c r="O89" s="140"/>
      <c r="P89" s="140"/>
      <c r="Q89" s="140"/>
      <c r="R89" s="140"/>
      <c r="S89" s="140"/>
      <c r="T89" s="140"/>
      <c r="U89" s="140"/>
      <c r="V89" s="140"/>
    </row>
    <row r="90" spans="1:22">
      <c r="A90" s="140"/>
      <c r="B90" s="158" t="s">
        <v>130</v>
      </c>
      <c r="C90" s="168">
        <f>MAX(C86*1000/(4.2*C87),C88*1000/(4.2*C89))</f>
        <v>87.259259259259252</v>
      </c>
      <c r="D90" s="28"/>
      <c r="E90" s="140"/>
      <c r="F90" s="140"/>
      <c r="G90" s="140"/>
      <c r="H90" s="140"/>
      <c r="I90" s="140"/>
      <c r="J90" s="140"/>
      <c r="K90" s="140"/>
      <c r="L90" s="140"/>
      <c r="M90" s="140"/>
      <c r="N90" s="140"/>
      <c r="O90" s="140"/>
      <c r="P90" s="140"/>
      <c r="Q90" s="140"/>
      <c r="R90" s="140"/>
      <c r="S90" s="140"/>
      <c r="T90" s="140"/>
      <c r="U90" s="140"/>
      <c r="V90" s="140"/>
    </row>
    <row r="91" spans="1:22">
      <c r="A91" s="141"/>
      <c r="B91" s="158" t="s">
        <v>131</v>
      </c>
      <c r="C91" s="206" t="s">
        <v>119</v>
      </c>
      <c r="D91" s="28" t="s">
        <v>68</v>
      </c>
      <c r="E91" s="140"/>
      <c r="F91" s="140"/>
      <c r="G91" s="140"/>
      <c r="H91" s="140"/>
      <c r="I91" s="140"/>
      <c r="J91" s="140"/>
      <c r="K91" s="140"/>
      <c r="L91" s="140"/>
      <c r="M91" s="140"/>
      <c r="N91" s="140"/>
      <c r="O91" s="140"/>
      <c r="P91" s="140"/>
      <c r="Q91" s="140"/>
      <c r="R91" s="140"/>
      <c r="S91" s="140"/>
      <c r="T91" s="140"/>
      <c r="U91" s="140"/>
      <c r="V91" s="140"/>
    </row>
    <row r="92" spans="1:22">
      <c r="A92" s="141"/>
      <c r="B92" s="158" t="s">
        <v>132</v>
      </c>
      <c r="C92" s="207">
        <v>115</v>
      </c>
      <c r="D92" s="28" t="s">
        <v>68</v>
      </c>
      <c r="E92" s="140"/>
      <c r="F92" s="140"/>
      <c r="G92" s="140"/>
      <c r="H92" s="140"/>
      <c r="I92" s="140"/>
      <c r="J92" s="140"/>
      <c r="K92" s="140"/>
      <c r="L92" s="140"/>
      <c r="M92" s="140"/>
      <c r="N92" s="140"/>
      <c r="O92" s="140"/>
      <c r="P92" s="140"/>
      <c r="Q92" s="140"/>
      <c r="R92" s="140"/>
      <c r="S92" s="140"/>
      <c r="T92" s="140"/>
      <c r="U92" s="140"/>
      <c r="V92" s="140"/>
    </row>
    <row r="93" spans="1:22">
      <c r="A93" s="140"/>
      <c r="B93" s="158" t="s">
        <v>133</v>
      </c>
      <c r="C93" s="171">
        <f t="shared" ref="C93" si="13">IF(C18="500 m + gestuurde boring",$C$18/1000,C18/1000)</f>
        <v>0.5</v>
      </c>
      <c r="D93" s="28"/>
      <c r="E93" s="140"/>
      <c r="F93" s="140"/>
      <c r="G93" s="140"/>
      <c r="H93" s="140"/>
      <c r="I93" s="140"/>
      <c r="J93" s="140"/>
      <c r="K93" s="140"/>
      <c r="L93" s="140"/>
      <c r="M93" s="140"/>
      <c r="N93" s="140"/>
      <c r="O93" s="140"/>
      <c r="P93" s="140"/>
      <c r="Q93" s="140"/>
      <c r="R93" s="140"/>
      <c r="S93" s="140"/>
      <c r="T93" s="140"/>
      <c r="U93" s="140"/>
      <c r="V93" s="140"/>
    </row>
    <row r="94" spans="1:22">
      <c r="A94" s="140"/>
      <c r="B94" s="158" t="s">
        <v>134</v>
      </c>
      <c r="C94" s="172">
        <f>C93*2*C92*1.1</f>
        <v>126.50000000000001</v>
      </c>
      <c r="D94" s="28"/>
      <c r="E94" s="140"/>
      <c r="F94" s="140"/>
      <c r="G94" s="140"/>
      <c r="H94" s="140"/>
      <c r="I94" s="140"/>
      <c r="J94" s="140"/>
      <c r="K94" s="140"/>
      <c r="L94" s="140"/>
      <c r="M94" s="140"/>
      <c r="N94" s="140"/>
      <c r="O94" s="140"/>
      <c r="P94" s="140"/>
      <c r="Q94" s="140"/>
      <c r="R94" s="140"/>
      <c r="S94" s="140"/>
      <c r="T94" s="140"/>
      <c r="U94" s="140"/>
      <c r="V94" s="140"/>
    </row>
    <row r="95" spans="1:22">
      <c r="A95" s="141"/>
      <c r="B95" s="158" t="s">
        <v>135</v>
      </c>
      <c r="C95" s="48">
        <v>0.75</v>
      </c>
      <c r="D95" s="28" t="s">
        <v>68</v>
      </c>
      <c r="E95" s="140"/>
      <c r="F95" s="140"/>
      <c r="G95" s="140"/>
      <c r="H95" s="140"/>
      <c r="I95" s="140"/>
      <c r="J95" s="140"/>
      <c r="K95" s="140"/>
      <c r="L95" s="140"/>
      <c r="M95" s="140"/>
      <c r="N95" s="140"/>
      <c r="O95" s="140"/>
      <c r="P95" s="140"/>
      <c r="Q95" s="140"/>
      <c r="R95" s="140"/>
      <c r="S95" s="140"/>
      <c r="T95" s="140"/>
      <c r="U95" s="140"/>
      <c r="V95" s="140"/>
    </row>
    <row r="96" spans="1:22">
      <c r="A96" s="140"/>
      <c r="B96" s="158" t="s">
        <v>136</v>
      </c>
      <c r="C96" s="167">
        <f t="shared" ref="C96" si="14">(C94*C90/1000)/C95</f>
        <v>14.717728395061728</v>
      </c>
      <c r="D96" s="28"/>
      <c r="E96" s="140"/>
      <c r="F96" s="140"/>
      <c r="G96" s="140"/>
      <c r="H96" s="140"/>
      <c r="I96" s="140"/>
      <c r="J96" s="140"/>
      <c r="K96" s="140"/>
      <c r="L96" s="140"/>
      <c r="M96" s="140"/>
      <c r="N96" s="140"/>
      <c r="O96" s="140"/>
      <c r="P96" s="140"/>
      <c r="Q96" s="140"/>
      <c r="R96" s="140"/>
      <c r="S96" s="140"/>
      <c r="T96" s="140"/>
      <c r="U96" s="140"/>
      <c r="V96" s="140"/>
    </row>
    <row r="97" spans="1:22">
      <c r="A97" s="141"/>
      <c r="B97" s="158" t="s">
        <v>125</v>
      </c>
      <c r="C97" s="19">
        <v>55</v>
      </c>
      <c r="D97" s="28" t="s">
        <v>68</v>
      </c>
      <c r="E97" s="140"/>
      <c r="F97" s="140"/>
      <c r="G97" s="140"/>
      <c r="H97" s="140"/>
      <c r="I97" s="140"/>
      <c r="J97" s="140"/>
      <c r="K97" s="140"/>
      <c r="L97" s="140"/>
      <c r="M97" s="140"/>
      <c r="N97" s="140"/>
      <c r="O97" s="140"/>
      <c r="P97" s="140"/>
      <c r="Q97" s="140"/>
      <c r="R97" s="140"/>
      <c r="S97" s="140"/>
      <c r="T97" s="140"/>
      <c r="U97" s="140"/>
      <c r="V97" s="140"/>
    </row>
    <row r="98" spans="1:22">
      <c r="A98" s="141"/>
      <c r="B98" s="158"/>
      <c r="C98" s="19"/>
      <c r="D98" s="28"/>
      <c r="E98" s="140"/>
      <c r="F98" s="140"/>
      <c r="G98" s="140"/>
      <c r="H98" s="140"/>
      <c r="I98" s="140"/>
      <c r="J98" s="140"/>
      <c r="K98" s="140"/>
      <c r="L98" s="140"/>
      <c r="M98" s="140"/>
      <c r="N98" s="140"/>
      <c r="O98" s="140"/>
      <c r="P98" s="140"/>
      <c r="Q98" s="140"/>
      <c r="R98" s="140"/>
      <c r="S98" s="140"/>
      <c r="T98" s="140"/>
      <c r="U98" s="140"/>
      <c r="V98" s="140"/>
    </row>
    <row r="99" spans="1:22">
      <c r="A99" s="140"/>
      <c r="B99" s="163" t="s">
        <v>137</v>
      </c>
      <c r="C99" s="164"/>
      <c r="D99" s="60"/>
      <c r="E99" s="140"/>
      <c r="F99" s="140"/>
      <c r="G99" s="140"/>
      <c r="H99" s="140"/>
      <c r="I99" s="140"/>
      <c r="J99" s="140"/>
      <c r="K99" s="140"/>
      <c r="L99" s="140"/>
      <c r="M99" s="140"/>
      <c r="N99" s="140"/>
      <c r="O99" s="140"/>
      <c r="P99" s="140"/>
      <c r="Q99" s="140"/>
      <c r="R99" s="140"/>
      <c r="S99" s="140"/>
      <c r="T99" s="140"/>
      <c r="U99" s="140"/>
      <c r="V99" s="140"/>
    </row>
    <row r="100" spans="1:22">
      <c r="A100" s="140"/>
      <c r="B100" s="158" t="s">
        <v>138</v>
      </c>
      <c r="C100" s="156">
        <f t="shared" ref="C100" si="15">C8*C13</f>
        <v>2.5</v>
      </c>
      <c r="D100" s="28"/>
      <c r="E100" s="140"/>
      <c r="F100" s="140"/>
      <c r="G100" s="140"/>
      <c r="H100" s="140"/>
      <c r="I100" s="140"/>
      <c r="J100" s="140"/>
      <c r="K100" s="140"/>
      <c r="L100" s="140"/>
      <c r="M100" s="140"/>
      <c r="N100" s="140"/>
      <c r="O100" s="140"/>
      <c r="P100" s="140"/>
      <c r="Q100" s="140"/>
      <c r="R100" s="140"/>
      <c r="S100" s="140"/>
      <c r="T100" s="140"/>
      <c r="U100" s="140"/>
      <c r="V100" s="140"/>
    </row>
    <row r="101" spans="1:22">
      <c r="A101" s="140"/>
      <c r="B101" s="158" t="s">
        <v>139</v>
      </c>
      <c r="C101" s="166">
        <f t="shared" ref="C101" si="16">C36</f>
        <v>3.6287999999999982</v>
      </c>
      <c r="D101" s="28"/>
      <c r="E101" s="140"/>
      <c r="F101" s="140"/>
      <c r="G101" s="140"/>
      <c r="H101" s="140"/>
      <c r="I101" s="140"/>
      <c r="J101" s="140"/>
      <c r="K101" s="140"/>
      <c r="L101" s="140"/>
      <c r="M101" s="140"/>
      <c r="N101" s="140"/>
      <c r="O101" s="140"/>
      <c r="P101" s="140"/>
      <c r="Q101" s="140"/>
      <c r="R101" s="140"/>
      <c r="S101" s="140"/>
      <c r="T101" s="140"/>
      <c r="U101" s="140"/>
      <c r="V101" s="140"/>
    </row>
    <row r="102" spans="1:22">
      <c r="A102" s="141"/>
      <c r="B102" s="158" t="s">
        <v>140</v>
      </c>
      <c r="C102" s="54">
        <v>1</v>
      </c>
      <c r="D102" s="28" t="s">
        <v>68</v>
      </c>
      <c r="E102" s="140"/>
      <c r="F102" s="140"/>
      <c r="G102" s="140"/>
      <c r="H102" s="140"/>
      <c r="I102" s="140"/>
      <c r="J102" s="140"/>
      <c r="K102" s="140"/>
      <c r="L102" s="140"/>
      <c r="M102" s="140"/>
      <c r="N102" s="140"/>
      <c r="O102" s="140"/>
      <c r="P102" s="140"/>
      <c r="Q102" s="140"/>
      <c r="R102" s="140"/>
      <c r="S102" s="140"/>
      <c r="T102" s="140"/>
      <c r="U102" s="140"/>
      <c r="V102" s="140"/>
    </row>
    <row r="103" spans="1:22">
      <c r="A103" s="141"/>
      <c r="B103" s="158" t="s">
        <v>141</v>
      </c>
      <c r="C103" s="29">
        <f t="shared" ref="C103" si="17">C40-C45</f>
        <v>136.66666666666669</v>
      </c>
      <c r="D103" s="28"/>
      <c r="E103" s="140"/>
      <c r="F103" s="140"/>
      <c r="G103" s="140"/>
      <c r="H103" s="140"/>
      <c r="I103" s="140"/>
      <c r="J103" s="140"/>
      <c r="K103" s="140"/>
      <c r="L103" s="140"/>
      <c r="M103" s="140"/>
      <c r="N103" s="140"/>
      <c r="O103" s="140"/>
      <c r="P103" s="140"/>
      <c r="Q103" s="140"/>
      <c r="R103" s="140"/>
      <c r="S103" s="140"/>
      <c r="T103" s="140"/>
      <c r="U103" s="140"/>
      <c r="V103" s="140"/>
    </row>
    <row r="104" spans="1:22">
      <c r="A104" s="140"/>
      <c r="B104" s="158" t="s">
        <v>142</v>
      </c>
      <c r="C104" s="166">
        <f>IFERROR(C101/C102,0)</f>
        <v>3.6287999999999982</v>
      </c>
      <c r="D104" s="28"/>
      <c r="E104" s="140"/>
      <c r="F104" s="140"/>
      <c r="G104" s="140"/>
      <c r="H104" s="140"/>
      <c r="I104" s="140"/>
      <c r="J104" s="140"/>
      <c r="K104" s="140"/>
      <c r="L104" s="140"/>
      <c r="M104" s="140"/>
      <c r="N104" s="140"/>
      <c r="O104" s="140"/>
      <c r="P104" s="140"/>
      <c r="Q104" s="140"/>
      <c r="R104" s="140"/>
      <c r="S104" s="140"/>
      <c r="T104" s="140"/>
      <c r="U104" s="140"/>
      <c r="V104" s="140"/>
    </row>
    <row r="105" spans="1:22">
      <c r="A105" s="140"/>
      <c r="B105" s="158"/>
      <c r="C105" s="173"/>
      <c r="D105" s="28"/>
      <c r="E105" s="140"/>
      <c r="F105" s="140"/>
      <c r="G105" s="140"/>
      <c r="H105" s="140"/>
      <c r="I105" s="140"/>
      <c r="J105" s="140"/>
      <c r="K105" s="140"/>
      <c r="L105" s="140"/>
      <c r="M105" s="140"/>
      <c r="N105" s="140"/>
      <c r="O105" s="140"/>
      <c r="P105" s="140"/>
      <c r="Q105" s="140"/>
      <c r="R105" s="140"/>
      <c r="S105" s="140"/>
      <c r="T105" s="140"/>
      <c r="U105" s="140"/>
      <c r="V105" s="140"/>
    </row>
    <row r="106" spans="1:22">
      <c r="A106" s="140"/>
      <c r="B106" s="158"/>
      <c r="C106" s="141"/>
      <c r="D106" s="28"/>
      <c r="E106" s="140"/>
      <c r="F106" s="140"/>
      <c r="G106" s="140"/>
      <c r="H106" s="140"/>
      <c r="I106" s="140"/>
      <c r="J106" s="140"/>
      <c r="K106" s="140"/>
      <c r="L106" s="140"/>
      <c r="M106" s="140"/>
      <c r="N106" s="140"/>
      <c r="O106" s="140"/>
      <c r="P106" s="140"/>
      <c r="Q106" s="140"/>
      <c r="R106" s="140"/>
      <c r="S106" s="140"/>
      <c r="T106" s="140"/>
      <c r="U106" s="140"/>
      <c r="V106" s="140"/>
    </row>
    <row r="107" spans="1:22">
      <c r="A107" s="140"/>
      <c r="B107" s="25" t="s">
        <v>143</v>
      </c>
      <c r="C107" s="25" t="s">
        <v>60</v>
      </c>
      <c r="D107" s="120" t="s">
        <v>84</v>
      </c>
      <c r="E107" s="140"/>
      <c r="F107" s="140"/>
      <c r="G107" s="140"/>
      <c r="H107" s="140"/>
      <c r="I107" s="140"/>
      <c r="J107" s="140"/>
      <c r="K107" s="140"/>
      <c r="L107" s="140"/>
      <c r="M107" s="140"/>
      <c r="N107" s="140"/>
      <c r="O107" s="140"/>
      <c r="P107" s="140"/>
      <c r="Q107" s="140"/>
      <c r="R107" s="140"/>
      <c r="S107" s="140"/>
      <c r="T107" s="140"/>
      <c r="U107" s="140"/>
      <c r="V107" s="140"/>
    </row>
    <row r="108" spans="1:22">
      <c r="A108" s="140"/>
      <c r="B108" s="158"/>
      <c r="C108" s="169"/>
      <c r="D108" s="28"/>
      <c r="E108" s="140"/>
      <c r="F108" s="140"/>
      <c r="G108" s="140"/>
      <c r="H108" s="140"/>
      <c r="I108" s="140"/>
      <c r="J108" s="140"/>
      <c r="K108" s="140"/>
      <c r="L108" s="140"/>
      <c r="M108" s="140"/>
      <c r="N108" s="140"/>
      <c r="O108" s="140"/>
      <c r="P108" s="140"/>
      <c r="Q108" s="140"/>
      <c r="R108" s="140"/>
      <c r="S108" s="140"/>
      <c r="T108" s="140"/>
      <c r="U108" s="140"/>
      <c r="V108" s="140"/>
    </row>
    <row r="109" spans="1:22">
      <c r="A109" s="140"/>
      <c r="B109" s="163" t="s">
        <v>144</v>
      </c>
      <c r="C109" s="174"/>
      <c r="D109" s="60"/>
      <c r="E109" s="140"/>
      <c r="F109" s="140"/>
      <c r="G109" s="140"/>
      <c r="H109" s="140"/>
      <c r="I109" s="140"/>
      <c r="J109" s="140"/>
      <c r="K109" s="140"/>
      <c r="L109" s="140"/>
      <c r="M109" s="140"/>
      <c r="N109" s="140"/>
      <c r="O109" s="140"/>
      <c r="P109" s="140"/>
      <c r="Q109" s="140"/>
      <c r="R109" s="140"/>
      <c r="S109" s="140"/>
      <c r="T109" s="140"/>
      <c r="U109" s="140"/>
      <c r="V109" s="140"/>
    </row>
    <row r="110" spans="1:22" ht="15">
      <c r="A110" s="141"/>
      <c r="B110" s="158" t="s">
        <v>145</v>
      </c>
      <c r="C110" s="216">
        <v>150</v>
      </c>
      <c r="D110" s="28" t="s">
        <v>68</v>
      </c>
      <c r="E110" s="140"/>
      <c r="F110" s="140"/>
      <c r="G110" s="140"/>
      <c r="H110" s="140"/>
      <c r="I110" s="140"/>
      <c r="J110" s="140"/>
      <c r="K110" s="140"/>
      <c r="L110" s="140"/>
      <c r="M110" s="140"/>
      <c r="N110" s="140"/>
      <c r="O110" s="140"/>
      <c r="P110" s="140"/>
      <c r="Q110" s="140"/>
      <c r="R110" s="140"/>
      <c r="S110" s="140"/>
      <c r="T110" s="140"/>
      <c r="U110" s="140"/>
      <c r="V110" s="140"/>
    </row>
    <row r="111" spans="1:22" ht="15">
      <c r="A111" s="141"/>
      <c r="B111" s="158" t="s">
        <v>146</v>
      </c>
      <c r="C111" s="216">
        <v>150</v>
      </c>
      <c r="D111" s="28" t="s">
        <v>68</v>
      </c>
      <c r="E111" s="140"/>
      <c r="F111" s="140"/>
      <c r="G111" s="140"/>
      <c r="H111" s="140"/>
      <c r="I111" s="140"/>
      <c r="J111" s="140"/>
      <c r="K111" s="140"/>
      <c r="L111" s="140"/>
      <c r="M111" s="140"/>
      <c r="N111" s="140"/>
      <c r="O111" s="140"/>
      <c r="P111" s="140"/>
      <c r="Q111" s="140"/>
      <c r="R111" s="140"/>
      <c r="S111" s="140"/>
      <c r="T111" s="140"/>
      <c r="U111" s="140"/>
      <c r="V111" s="140"/>
    </row>
    <row r="112" spans="1:22">
      <c r="A112" s="141"/>
      <c r="B112" s="158" t="s">
        <v>147</v>
      </c>
      <c r="C112" s="208">
        <v>1000</v>
      </c>
      <c r="D112" s="28" t="s">
        <v>68</v>
      </c>
      <c r="E112" s="140"/>
      <c r="F112" s="140"/>
      <c r="G112" s="140"/>
      <c r="H112" s="140"/>
      <c r="I112" s="140"/>
      <c r="J112" s="140"/>
      <c r="K112" s="140"/>
      <c r="L112" s="140"/>
      <c r="M112" s="140"/>
      <c r="N112" s="140"/>
      <c r="O112" s="140"/>
      <c r="P112" s="140"/>
      <c r="Q112" s="140"/>
      <c r="R112" s="140"/>
      <c r="S112" s="140"/>
      <c r="T112" s="140"/>
      <c r="U112" s="140"/>
      <c r="V112" s="140"/>
    </row>
    <row r="113" spans="1:22" ht="15">
      <c r="A113" s="141"/>
      <c r="B113" s="158" t="s">
        <v>148</v>
      </c>
      <c r="C113" s="216">
        <f>IF(C19="stedelijk",550,385)</f>
        <v>550</v>
      </c>
      <c r="D113" s="28" t="s">
        <v>68</v>
      </c>
      <c r="E113" s="140"/>
      <c r="F113" s="140"/>
      <c r="G113" s="140"/>
      <c r="H113" s="140"/>
      <c r="I113" s="140"/>
      <c r="J113" s="140"/>
      <c r="K113" s="140"/>
      <c r="L113" s="140"/>
      <c r="M113" s="140"/>
      <c r="N113" s="140"/>
      <c r="O113" s="140"/>
      <c r="P113" s="140"/>
      <c r="Q113" s="140"/>
      <c r="R113" s="140"/>
      <c r="S113" s="140"/>
      <c r="T113" s="140"/>
      <c r="U113" s="140"/>
      <c r="V113" s="140"/>
    </row>
    <row r="114" spans="1:22" ht="15">
      <c r="A114" s="141"/>
      <c r="B114" s="158" t="s">
        <v>149</v>
      </c>
      <c r="C114" s="216">
        <v>250</v>
      </c>
      <c r="D114" s="28" t="s">
        <v>68</v>
      </c>
      <c r="E114" s="140"/>
      <c r="F114" s="140"/>
      <c r="G114" s="140"/>
      <c r="H114" s="140"/>
      <c r="I114" s="140"/>
      <c r="J114" s="140"/>
      <c r="K114" s="140"/>
      <c r="L114" s="140"/>
      <c r="M114" s="140"/>
      <c r="N114" s="140"/>
      <c r="O114" s="140"/>
      <c r="P114" s="140"/>
      <c r="Q114" s="140"/>
      <c r="R114" s="140"/>
      <c r="S114" s="140"/>
      <c r="T114" s="140"/>
      <c r="U114" s="140"/>
      <c r="V114" s="140"/>
    </row>
    <row r="115" spans="1:22">
      <c r="A115" s="140"/>
      <c r="B115" s="158"/>
      <c r="C115" s="169"/>
      <c r="D115" s="28"/>
      <c r="E115" s="140"/>
      <c r="F115" s="140"/>
      <c r="G115" s="140"/>
      <c r="H115" s="140"/>
      <c r="I115" s="140"/>
      <c r="J115" s="140"/>
      <c r="K115" s="140"/>
      <c r="L115" s="140"/>
      <c r="M115" s="140"/>
      <c r="N115" s="140"/>
      <c r="O115" s="140"/>
      <c r="P115" s="140"/>
      <c r="Q115" s="140"/>
      <c r="R115" s="140"/>
      <c r="S115" s="140"/>
      <c r="T115" s="140"/>
      <c r="U115" s="140"/>
      <c r="V115" s="140"/>
    </row>
    <row r="116" spans="1:22" ht="15">
      <c r="A116" s="141"/>
      <c r="B116" s="158" t="s">
        <v>150</v>
      </c>
      <c r="C116" s="224">
        <f>860.53*EXP(-0.0007*C77)</f>
        <v>761.57260730590417</v>
      </c>
      <c r="D116" s="28" t="s">
        <v>264</v>
      </c>
      <c r="E116" s="140"/>
      <c r="F116" s="140"/>
      <c r="G116" s="140"/>
      <c r="H116" s="140"/>
      <c r="I116" s="140"/>
      <c r="J116" s="140"/>
      <c r="K116" s="140"/>
      <c r="L116" s="140"/>
      <c r="M116" s="140"/>
      <c r="N116" s="140"/>
      <c r="O116" s="140"/>
      <c r="P116" s="140"/>
      <c r="Q116" s="140"/>
      <c r="R116" s="140"/>
      <c r="S116" s="140"/>
      <c r="T116" s="140"/>
      <c r="U116" s="140"/>
      <c r="V116" s="140"/>
    </row>
    <row r="117" spans="1:22" s="41" customFormat="1">
      <c r="A117" s="141"/>
      <c r="B117" s="141"/>
      <c r="C117" s="156"/>
      <c r="D117" s="158"/>
      <c r="E117" s="141"/>
      <c r="F117" s="141"/>
      <c r="G117" s="141"/>
      <c r="H117" s="141"/>
      <c r="I117" s="141"/>
      <c r="J117" s="141"/>
      <c r="K117" s="141"/>
      <c r="L117" s="141"/>
      <c r="M117" s="141"/>
      <c r="N117" s="141"/>
      <c r="O117" s="141"/>
      <c r="P117" s="141"/>
      <c r="Q117" s="141"/>
      <c r="R117" s="141"/>
      <c r="S117" s="141"/>
      <c r="T117" s="141"/>
      <c r="U117" s="141"/>
      <c r="V117" s="141"/>
    </row>
    <row r="118" spans="1:22">
      <c r="A118" s="141"/>
      <c r="B118" s="158" t="s">
        <v>151</v>
      </c>
      <c r="C118" s="209">
        <v>500</v>
      </c>
      <c r="D118" s="28" t="s">
        <v>152</v>
      </c>
      <c r="E118" s="140"/>
      <c r="F118" s="140"/>
      <c r="G118" s="140"/>
      <c r="H118" s="140"/>
      <c r="I118" s="140"/>
      <c r="J118" s="140"/>
      <c r="K118" s="140"/>
      <c r="L118" s="140"/>
      <c r="M118" s="140"/>
      <c r="N118" s="140"/>
      <c r="O118" s="140"/>
      <c r="P118" s="140"/>
      <c r="Q118" s="140"/>
      <c r="R118" s="140"/>
      <c r="S118" s="140"/>
      <c r="T118" s="140"/>
      <c r="U118" s="140"/>
      <c r="V118" s="140"/>
    </row>
    <row r="119" spans="1:22" ht="15">
      <c r="A119" s="141"/>
      <c r="B119" s="158" t="s">
        <v>153</v>
      </c>
      <c r="C119" s="224">
        <f>3311.8*EXP(-0.0002*C90)</f>
        <v>3254.5043686617732</v>
      </c>
      <c r="D119" s="28" t="s">
        <v>264</v>
      </c>
      <c r="E119" s="140"/>
      <c r="F119" s="140"/>
      <c r="G119" s="140"/>
      <c r="H119" s="140"/>
      <c r="I119" s="140"/>
      <c r="J119" s="140"/>
      <c r="K119" s="140"/>
      <c r="L119" s="140"/>
      <c r="M119" s="140"/>
      <c r="N119" s="140"/>
      <c r="O119" s="140"/>
      <c r="P119" s="140"/>
      <c r="Q119" s="140"/>
      <c r="R119" s="140"/>
      <c r="S119" s="140"/>
      <c r="T119" s="140"/>
      <c r="U119" s="140"/>
      <c r="V119" s="140"/>
    </row>
    <row r="120" spans="1:22">
      <c r="A120" s="141"/>
      <c r="B120" s="158" t="s">
        <v>154</v>
      </c>
      <c r="C120" s="209">
        <v>50</v>
      </c>
      <c r="D120" s="28" t="s">
        <v>152</v>
      </c>
      <c r="E120" s="140"/>
      <c r="F120" s="140"/>
      <c r="G120" s="140"/>
      <c r="H120" s="140"/>
      <c r="I120" s="140"/>
      <c r="J120" s="140"/>
      <c r="K120" s="140"/>
      <c r="L120" s="140"/>
      <c r="M120" s="140"/>
      <c r="N120" s="140"/>
      <c r="O120" s="140"/>
      <c r="P120" s="140"/>
      <c r="Q120" s="140"/>
      <c r="R120" s="140"/>
      <c r="S120" s="140"/>
      <c r="T120" s="140"/>
      <c r="U120" s="140"/>
      <c r="V120" s="140"/>
    </row>
    <row r="121" spans="1:22">
      <c r="A121" s="141"/>
      <c r="B121" s="158" t="s">
        <v>155</v>
      </c>
      <c r="C121" s="52">
        <v>1100</v>
      </c>
      <c r="D121" s="28" t="s">
        <v>68</v>
      </c>
      <c r="E121" s="140"/>
      <c r="F121" s="140"/>
      <c r="G121" s="140"/>
      <c r="H121" s="140"/>
      <c r="I121" s="140"/>
      <c r="J121" s="140"/>
      <c r="K121" s="140"/>
      <c r="L121" s="140"/>
      <c r="M121" s="140"/>
      <c r="N121" s="140"/>
      <c r="O121" s="140"/>
      <c r="P121" s="140"/>
      <c r="Q121" s="140"/>
      <c r="R121" s="140"/>
      <c r="S121" s="140"/>
      <c r="T121" s="140"/>
      <c r="U121" s="140"/>
      <c r="V121" s="140"/>
    </row>
    <row r="122" spans="1:22">
      <c r="A122" s="158"/>
      <c r="B122" s="158" t="s">
        <v>156</v>
      </c>
      <c r="C122" s="53">
        <v>110</v>
      </c>
      <c r="D122" s="28" t="s">
        <v>68</v>
      </c>
      <c r="E122" s="140"/>
      <c r="F122" s="140"/>
      <c r="G122" s="140"/>
      <c r="H122" s="140"/>
      <c r="I122" s="140"/>
      <c r="J122" s="140"/>
      <c r="K122" s="140"/>
      <c r="L122" s="140"/>
      <c r="M122" s="140"/>
      <c r="N122" s="140"/>
      <c r="O122" s="140"/>
      <c r="P122" s="140"/>
      <c r="Q122" s="140"/>
      <c r="R122" s="140"/>
      <c r="S122" s="140"/>
      <c r="T122" s="140"/>
      <c r="U122" s="140"/>
      <c r="V122" s="140"/>
    </row>
    <row r="123" spans="1:22">
      <c r="A123" s="158"/>
      <c r="B123" s="158" t="s">
        <v>157</v>
      </c>
      <c r="C123" s="52">
        <v>700</v>
      </c>
      <c r="D123" s="28" t="s">
        <v>68</v>
      </c>
      <c r="E123" s="140"/>
      <c r="F123" s="140"/>
      <c r="G123" s="140"/>
      <c r="H123" s="140"/>
      <c r="I123" s="140"/>
      <c r="J123" s="140"/>
      <c r="K123" s="140"/>
      <c r="L123" s="140"/>
      <c r="M123" s="140"/>
      <c r="N123" s="140"/>
      <c r="O123" s="140"/>
      <c r="P123" s="140"/>
      <c r="Q123" s="140"/>
      <c r="R123" s="140"/>
      <c r="S123" s="140"/>
      <c r="T123" s="140"/>
      <c r="U123" s="140"/>
      <c r="V123" s="140"/>
    </row>
    <row r="124" spans="1:22">
      <c r="A124" s="158"/>
      <c r="B124" s="158" t="s">
        <v>158</v>
      </c>
      <c r="C124" s="209">
        <v>50</v>
      </c>
      <c r="D124" s="28" t="s">
        <v>68</v>
      </c>
      <c r="E124" s="140"/>
      <c r="F124" s="140"/>
      <c r="G124" s="140"/>
      <c r="H124" s="140"/>
      <c r="I124" s="140"/>
      <c r="J124" s="140"/>
      <c r="K124" s="140"/>
      <c r="L124" s="140"/>
      <c r="M124" s="140"/>
      <c r="N124" s="140"/>
      <c r="O124" s="140"/>
      <c r="P124" s="140"/>
      <c r="Q124" s="140"/>
      <c r="R124" s="140"/>
      <c r="S124" s="140"/>
      <c r="T124" s="140"/>
      <c r="U124" s="140"/>
      <c r="V124" s="140"/>
    </row>
    <row r="125" spans="1:22">
      <c r="A125" s="158"/>
      <c r="B125" s="158" t="s">
        <v>159</v>
      </c>
      <c r="C125" s="210">
        <f>C12*((C20-3%)*15+1)</f>
        <v>68</v>
      </c>
      <c r="D125" s="28" t="s">
        <v>68</v>
      </c>
      <c r="E125" s="140"/>
      <c r="F125" s="217"/>
      <c r="G125" s="140"/>
      <c r="H125" s="140"/>
      <c r="I125" s="140"/>
      <c r="J125" s="140"/>
      <c r="K125" s="140"/>
      <c r="L125" s="140"/>
      <c r="M125" s="140"/>
      <c r="N125" s="140"/>
      <c r="O125" s="140"/>
      <c r="P125" s="140"/>
      <c r="Q125" s="140"/>
      <c r="R125" s="140"/>
      <c r="S125" s="140"/>
      <c r="T125" s="140"/>
      <c r="U125" s="140"/>
      <c r="V125" s="140"/>
    </row>
    <row r="126" spans="1:22">
      <c r="A126" s="140"/>
      <c r="B126" s="158"/>
      <c r="C126" s="175">
        <f t="shared" ref="C126" si="18">C125/0.0036</f>
        <v>18888.888888888891</v>
      </c>
      <c r="D126" s="28"/>
      <c r="E126" s="140"/>
      <c r="F126" s="140"/>
      <c r="G126" s="140"/>
      <c r="H126" s="140"/>
      <c r="I126" s="140"/>
      <c r="J126" s="140"/>
      <c r="K126" s="140"/>
      <c r="L126" s="140"/>
      <c r="M126" s="140"/>
      <c r="N126" s="140"/>
      <c r="O126" s="140"/>
      <c r="P126" s="140"/>
      <c r="Q126" s="140"/>
      <c r="R126" s="140"/>
      <c r="S126" s="140"/>
      <c r="T126" s="140"/>
      <c r="U126" s="140"/>
      <c r="V126" s="140"/>
    </row>
    <row r="127" spans="1:22">
      <c r="A127" s="158"/>
      <c r="B127" s="158" t="s">
        <v>160</v>
      </c>
      <c r="C127" s="211">
        <v>12.13</v>
      </c>
      <c r="D127" s="28" t="s">
        <v>68</v>
      </c>
      <c r="E127" s="140"/>
      <c r="F127" s="140"/>
      <c r="G127" s="140"/>
      <c r="H127" s="140"/>
      <c r="I127" s="140"/>
      <c r="J127" s="140"/>
      <c r="K127" s="140"/>
      <c r="L127" s="140"/>
      <c r="M127" s="140"/>
      <c r="N127" s="140"/>
      <c r="O127" s="140"/>
      <c r="P127" s="140"/>
      <c r="Q127" s="140"/>
      <c r="R127" s="140"/>
      <c r="S127" s="140"/>
      <c r="T127" s="140"/>
      <c r="U127" s="140"/>
      <c r="V127" s="140"/>
    </row>
    <row r="128" spans="1:22">
      <c r="A128" s="158"/>
      <c r="B128" s="158" t="s">
        <v>161</v>
      </c>
      <c r="C128" s="211">
        <v>23.03</v>
      </c>
      <c r="D128" s="28" t="s">
        <v>68</v>
      </c>
      <c r="E128" s="140"/>
      <c r="F128" s="140"/>
      <c r="G128" s="140"/>
      <c r="H128" s="140"/>
      <c r="I128" s="140"/>
      <c r="J128" s="140"/>
      <c r="K128" s="140"/>
      <c r="L128" s="140"/>
      <c r="M128" s="140"/>
      <c r="N128" s="140"/>
      <c r="O128" s="140"/>
      <c r="P128" s="140"/>
      <c r="Q128" s="140"/>
      <c r="R128" s="140"/>
      <c r="S128" s="140"/>
      <c r="T128" s="140"/>
      <c r="U128" s="140"/>
      <c r="V128" s="140"/>
    </row>
    <row r="129" spans="1:22">
      <c r="A129" s="158"/>
      <c r="B129" s="158" t="s">
        <v>162</v>
      </c>
      <c r="C129" s="211">
        <f>C125+C127+C128</f>
        <v>103.16</v>
      </c>
      <c r="D129" s="28"/>
      <c r="E129" s="140"/>
      <c r="F129" s="140"/>
      <c r="G129" s="140"/>
      <c r="H129" s="140"/>
      <c r="I129" s="140"/>
      <c r="J129" s="140"/>
      <c r="K129" s="140"/>
      <c r="L129" s="140"/>
      <c r="M129" s="140"/>
      <c r="N129" s="140"/>
      <c r="O129" s="140"/>
      <c r="P129" s="140"/>
      <c r="Q129" s="140"/>
      <c r="R129" s="140"/>
      <c r="S129" s="140"/>
      <c r="T129" s="140"/>
      <c r="U129" s="140"/>
      <c r="V129" s="140"/>
    </row>
    <row r="130" spans="1:22">
      <c r="A130" s="158"/>
      <c r="B130" s="158" t="s">
        <v>163</v>
      </c>
      <c r="C130" s="47" t="s">
        <v>30</v>
      </c>
      <c r="D130" s="28"/>
      <c r="E130" s="140"/>
      <c r="F130" s="140"/>
      <c r="G130" s="140"/>
      <c r="H130" s="140"/>
      <c r="I130" s="140"/>
      <c r="J130" s="140"/>
      <c r="K130" s="140"/>
      <c r="L130" s="140"/>
      <c r="M130" s="140"/>
      <c r="N130" s="140"/>
      <c r="O130" s="140"/>
      <c r="P130" s="140"/>
      <c r="Q130" s="140"/>
      <c r="R130" s="140"/>
      <c r="S130" s="140"/>
      <c r="T130" s="140"/>
      <c r="U130" s="140"/>
      <c r="V130" s="140"/>
    </row>
    <row r="131" spans="1:22">
      <c r="A131" s="158"/>
      <c r="B131" s="158" t="s">
        <v>164</v>
      </c>
      <c r="C131" s="47" t="s">
        <v>30</v>
      </c>
      <c r="D131" s="28"/>
      <c r="E131" s="140"/>
      <c r="F131" s="140"/>
      <c r="G131" s="140"/>
      <c r="H131" s="140"/>
      <c r="I131" s="140"/>
      <c r="J131" s="140"/>
      <c r="K131" s="140"/>
      <c r="L131" s="140"/>
      <c r="M131" s="140"/>
      <c r="N131" s="140"/>
      <c r="O131" s="140"/>
      <c r="P131" s="140"/>
      <c r="Q131" s="140"/>
      <c r="R131" s="140"/>
      <c r="S131" s="140"/>
      <c r="T131" s="140"/>
      <c r="U131" s="140"/>
      <c r="V131" s="140"/>
    </row>
    <row r="132" spans="1:22">
      <c r="A132" s="158"/>
      <c r="B132" s="140"/>
      <c r="C132" s="176" t="str">
        <f t="shared" ref="C132" si="19">IFERROR(C131/0.0036,"n.v.t.")</f>
        <v>n.v.t.</v>
      </c>
      <c r="D132" s="32"/>
      <c r="E132" s="140"/>
      <c r="F132" s="140"/>
      <c r="G132" s="140"/>
      <c r="H132" s="140"/>
      <c r="I132" s="140"/>
      <c r="J132" s="140"/>
      <c r="K132" s="140"/>
      <c r="L132" s="140"/>
      <c r="M132" s="140"/>
      <c r="N132" s="140"/>
      <c r="O132" s="140"/>
      <c r="P132" s="140"/>
      <c r="Q132" s="140"/>
      <c r="R132" s="140"/>
      <c r="S132" s="140"/>
      <c r="T132" s="140"/>
      <c r="U132" s="140"/>
      <c r="V132" s="140"/>
    </row>
    <row r="133" spans="1:22">
      <c r="A133" s="158"/>
      <c r="B133" s="141" t="s">
        <v>165</v>
      </c>
      <c r="C133" s="48">
        <f>15%+(C21-6%)</f>
        <v>0.15</v>
      </c>
      <c r="D133" s="28" t="s">
        <v>68</v>
      </c>
      <c r="E133" s="140"/>
      <c r="F133" s="140"/>
      <c r="G133" s="140"/>
      <c r="H133" s="140"/>
      <c r="I133" s="140"/>
      <c r="J133" s="140"/>
      <c r="K133" s="140"/>
      <c r="L133" s="140"/>
      <c r="M133" s="140"/>
      <c r="N133" s="140"/>
      <c r="O133" s="140"/>
      <c r="P133" s="140"/>
      <c r="Q133" s="140"/>
      <c r="R133" s="140"/>
      <c r="S133" s="140"/>
      <c r="T133" s="140"/>
      <c r="U133" s="140"/>
      <c r="V133" s="140"/>
    </row>
    <row r="134" spans="1:22">
      <c r="A134" s="158"/>
      <c r="B134" s="141" t="s">
        <v>166</v>
      </c>
      <c r="C134" s="48">
        <v>0.1</v>
      </c>
      <c r="D134" s="28" t="s">
        <v>68</v>
      </c>
      <c r="E134" s="140"/>
      <c r="F134" s="140"/>
      <c r="G134" s="140"/>
      <c r="H134" s="140"/>
      <c r="I134" s="140"/>
      <c r="J134" s="140"/>
      <c r="K134" s="140"/>
      <c r="L134" s="140"/>
      <c r="M134" s="140"/>
      <c r="N134" s="140"/>
      <c r="O134" s="140"/>
      <c r="P134" s="140"/>
      <c r="Q134" s="140"/>
      <c r="R134" s="140"/>
      <c r="S134" s="140"/>
      <c r="T134" s="140"/>
      <c r="U134" s="140"/>
      <c r="V134" s="140"/>
    </row>
    <row r="135" spans="1:22">
      <c r="A135" s="158"/>
      <c r="B135" s="141" t="s">
        <v>167</v>
      </c>
      <c r="C135" s="49">
        <v>0.05</v>
      </c>
      <c r="D135" s="28" t="s">
        <v>68</v>
      </c>
      <c r="E135" s="140"/>
      <c r="F135" s="140"/>
      <c r="G135" s="140"/>
      <c r="H135" s="140"/>
      <c r="I135" s="140"/>
      <c r="J135" s="140"/>
      <c r="K135" s="140"/>
      <c r="L135" s="140"/>
      <c r="M135" s="140"/>
      <c r="N135" s="140"/>
      <c r="O135" s="140"/>
      <c r="P135" s="140"/>
      <c r="Q135" s="140"/>
      <c r="R135" s="140"/>
      <c r="S135" s="140"/>
      <c r="T135" s="140"/>
      <c r="U135" s="140"/>
      <c r="V135" s="140"/>
    </row>
    <row r="136" spans="1:22">
      <c r="A136" s="158"/>
      <c r="B136" s="141" t="s">
        <v>168</v>
      </c>
      <c r="C136" s="49">
        <v>0.02</v>
      </c>
      <c r="D136" s="28" t="s">
        <v>68</v>
      </c>
      <c r="E136" s="140"/>
      <c r="F136" s="140"/>
      <c r="G136" s="140"/>
      <c r="H136" s="140"/>
      <c r="I136" s="140"/>
      <c r="J136" s="140"/>
      <c r="K136" s="140"/>
      <c r="L136" s="140"/>
      <c r="M136" s="140"/>
      <c r="N136" s="140"/>
      <c r="O136" s="140"/>
      <c r="P136" s="140"/>
      <c r="Q136" s="140"/>
      <c r="R136" s="140"/>
      <c r="S136" s="140"/>
      <c r="T136" s="140"/>
      <c r="U136" s="140"/>
      <c r="V136" s="140"/>
    </row>
    <row r="137" spans="1:22">
      <c r="A137" s="158"/>
      <c r="B137" s="141" t="s">
        <v>169</v>
      </c>
      <c r="C137" s="26"/>
      <c r="D137" s="28"/>
      <c r="E137" s="140"/>
      <c r="F137" s="140"/>
      <c r="G137" s="140"/>
      <c r="H137" s="140"/>
      <c r="I137" s="140"/>
      <c r="J137" s="140"/>
      <c r="K137" s="140"/>
      <c r="L137" s="140"/>
      <c r="M137" s="140"/>
      <c r="N137" s="140"/>
      <c r="O137" s="140"/>
      <c r="P137" s="140"/>
      <c r="Q137" s="140"/>
      <c r="R137" s="140"/>
      <c r="S137" s="140"/>
      <c r="T137" s="140"/>
      <c r="U137" s="140"/>
      <c r="V137" s="140"/>
    </row>
    <row r="138" spans="1:22">
      <c r="A138" s="158"/>
      <c r="B138" s="141" t="s">
        <v>170</v>
      </c>
      <c r="C138" s="49">
        <v>0.02</v>
      </c>
      <c r="D138" s="28" t="s">
        <v>68</v>
      </c>
      <c r="E138" s="140"/>
      <c r="F138" s="140"/>
      <c r="G138" s="140"/>
      <c r="H138" s="140"/>
      <c r="I138" s="140"/>
      <c r="J138" s="140"/>
      <c r="K138" s="140"/>
      <c r="L138" s="140"/>
      <c r="M138" s="140"/>
      <c r="N138" s="140"/>
      <c r="O138" s="140"/>
      <c r="P138" s="140"/>
      <c r="Q138" s="140"/>
      <c r="R138" s="140"/>
      <c r="S138" s="140"/>
      <c r="T138" s="140"/>
      <c r="U138" s="140"/>
      <c r="V138" s="140"/>
    </row>
    <row r="139" spans="1:22">
      <c r="A139" s="158"/>
      <c r="B139" s="141" t="s">
        <v>171</v>
      </c>
      <c r="C139" s="49">
        <v>0.01</v>
      </c>
      <c r="D139" s="28" t="s">
        <v>68</v>
      </c>
      <c r="E139" s="140"/>
      <c r="F139" s="140"/>
      <c r="G139" s="140"/>
      <c r="H139" s="140"/>
      <c r="I139" s="140"/>
      <c r="J139" s="140"/>
      <c r="K139" s="140"/>
      <c r="L139" s="140"/>
      <c r="M139" s="140"/>
      <c r="N139" s="140"/>
      <c r="O139" s="140"/>
      <c r="P139" s="140"/>
      <c r="Q139" s="140"/>
      <c r="R139" s="140"/>
      <c r="S139" s="140"/>
      <c r="T139" s="140"/>
      <c r="U139" s="140"/>
      <c r="V139" s="140"/>
    </row>
    <row r="140" spans="1:22">
      <c r="A140" s="158"/>
      <c r="B140" s="141" t="s">
        <v>172</v>
      </c>
      <c r="C140" s="49">
        <v>2E-3</v>
      </c>
      <c r="D140" s="28" t="s">
        <v>68</v>
      </c>
      <c r="E140" s="140"/>
      <c r="F140" s="140"/>
      <c r="G140" s="140"/>
      <c r="H140" s="140"/>
      <c r="I140" s="140"/>
      <c r="J140" s="140"/>
      <c r="K140" s="140"/>
      <c r="L140" s="140"/>
      <c r="M140" s="140"/>
      <c r="N140" s="140"/>
      <c r="O140" s="140"/>
      <c r="P140" s="140"/>
      <c r="Q140" s="140"/>
      <c r="R140" s="140"/>
      <c r="S140" s="140"/>
      <c r="T140" s="140"/>
      <c r="U140" s="140"/>
      <c r="V140" s="140"/>
    </row>
    <row r="141" spans="1:22">
      <c r="A141" s="158"/>
      <c r="B141" s="141" t="s">
        <v>173</v>
      </c>
      <c r="C141" s="49">
        <v>0.02</v>
      </c>
      <c r="D141" s="28" t="s">
        <v>68</v>
      </c>
      <c r="E141" s="140"/>
      <c r="F141" s="140"/>
      <c r="G141" s="140"/>
      <c r="H141" s="140"/>
      <c r="I141" s="140"/>
      <c r="J141" s="140"/>
      <c r="K141" s="140"/>
      <c r="L141" s="140"/>
      <c r="M141" s="140"/>
      <c r="N141" s="140"/>
      <c r="O141" s="140"/>
      <c r="P141" s="140"/>
      <c r="Q141" s="140"/>
      <c r="R141" s="140"/>
      <c r="S141" s="140"/>
      <c r="T141" s="140"/>
      <c r="U141" s="140"/>
      <c r="V141" s="140"/>
    </row>
    <row r="142" spans="1:22">
      <c r="A142" s="158"/>
      <c r="B142" s="141" t="s">
        <v>174</v>
      </c>
      <c r="C142" s="50">
        <v>30</v>
      </c>
      <c r="D142" s="28" t="s">
        <v>68</v>
      </c>
      <c r="E142" s="140"/>
      <c r="F142" s="140"/>
      <c r="G142" s="140"/>
      <c r="H142" s="140"/>
      <c r="I142" s="140"/>
      <c r="J142" s="140"/>
      <c r="K142" s="140"/>
      <c r="L142" s="140"/>
      <c r="M142" s="140"/>
      <c r="N142" s="140"/>
      <c r="O142" s="140"/>
      <c r="P142" s="140"/>
      <c r="Q142" s="140"/>
      <c r="R142" s="140"/>
      <c r="S142" s="140"/>
      <c r="T142" s="140"/>
      <c r="U142" s="140"/>
      <c r="V142" s="140"/>
    </row>
    <row r="143" spans="1:22">
      <c r="A143" s="158"/>
      <c r="B143" s="141" t="s">
        <v>175</v>
      </c>
      <c r="C143" s="48">
        <v>0.7</v>
      </c>
      <c r="D143" s="28" t="s">
        <v>68</v>
      </c>
      <c r="E143" s="140"/>
      <c r="F143" s="140"/>
      <c r="G143" s="140"/>
      <c r="H143" s="140"/>
      <c r="I143" s="140"/>
      <c r="J143" s="140"/>
      <c r="K143" s="140"/>
      <c r="L143" s="140"/>
      <c r="M143" s="140"/>
      <c r="N143" s="140"/>
      <c r="O143" s="140"/>
      <c r="P143" s="140"/>
      <c r="Q143" s="140"/>
      <c r="R143" s="140"/>
      <c r="S143" s="140"/>
      <c r="T143" s="140"/>
      <c r="U143" s="140"/>
      <c r="V143" s="140"/>
    </row>
    <row r="144" spans="1:22">
      <c r="A144" s="158"/>
      <c r="B144" s="141" t="s">
        <v>176</v>
      </c>
      <c r="C144" s="49">
        <v>1.4999999999999999E-2</v>
      </c>
      <c r="D144" s="28" t="s">
        <v>68</v>
      </c>
      <c r="E144" s="140"/>
      <c r="F144" s="140"/>
      <c r="G144" s="140"/>
      <c r="H144" s="140"/>
      <c r="I144" s="140"/>
      <c r="J144" s="140"/>
      <c r="K144" s="140"/>
      <c r="L144" s="140"/>
      <c r="M144" s="140"/>
      <c r="N144" s="140"/>
      <c r="O144" s="140"/>
      <c r="P144" s="140"/>
      <c r="Q144" s="140"/>
      <c r="R144" s="140"/>
      <c r="S144" s="140"/>
      <c r="T144" s="140"/>
      <c r="U144" s="140"/>
      <c r="V144" s="140"/>
    </row>
    <row r="145" spans="1:22">
      <c r="A145" s="158"/>
      <c r="B145" s="141" t="s">
        <v>177</v>
      </c>
      <c r="C145" s="49">
        <v>0.01</v>
      </c>
      <c r="D145" s="28" t="s">
        <v>68</v>
      </c>
      <c r="E145" s="140"/>
      <c r="F145" s="140"/>
      <c r="G145" s="140"/>
      <c r="H145" s="140"/>
      <c r="I145" s="140"/>
      <c r="J145" s="140"/>
      <c r="K145" s="140"/>
      <c r="L145" s="140"/>
      <c r="M145" s="140"/>
      <c r="N145" s="140"/>
      <c r="O145" s="140"/>
      <c r="P145" s="140"/>
      <c r="Q145" s="140"/>
      <c r="R145" s="140"/>
      <c r="S145" s="140"/>
      <c r="T145" s="140"/>
      <c r="U145" s="140"/>
      <c r="V145" s="140"/>
    </row>
    <row r="146" spans="1:22">
      <c r="A146" s="158"/>
      <c r="B146" s="141" t="s">
        <v>178</v>
      </c>
      <c r="C146" s="49">
        <v>5.0000000000000001E-3</v>
      </c>
      <c r="D146" s="28" t="s">
        <v>68</v>
      </c>
      <c r="E146" s="140"/>
      <c r="F146" s="140"/>
      <c r="G146" s="140"/>
      <c r="H146" s="140"/>
      <c r="I146" s="140"/>
      <c r="J146" s="140"/>
      <c r="K146" s="140"/>
      <c r="L146" s="140"/>
      <c r="M146" s="140"/>
      <c r="N146" s="140"/>
      <c r="O146" s="140"/>
      <c r="P146" s="140"/>
      <c r="Q146" s="140"/>
      <c r="R146" s="140"/>
      <c r="S146" s="140"/>
      <c r="T146" s="140"/>
      <c r="U146" s="140"/>
      <c r="V146" s="140"/>
    </row>
    <row r="147" spans="1:22">
      <c r="A147" s="158"/>
      <c r="B147" s="141" t="s">
        <v>179</v>
      </c>
      <c r="C147" s="49">
        <v>2E-3</v>
      </c>
      <c r="D147" s="28" t="s">
        <v>68</v>
      </c>
      <c r="E147" s="140"/>
      <c r="F147" s="140"/>
      <c r="G147" s="140"/>
      <c r="H147" s="140"/>
      <c r="I147" s="140"/>
      <c r="J147" s="140"/>
      <c r="K147" s="140"/>
      <c r="L147" s="140"/>
      <c r="M147" s="140"/>
      <c r="N147" s="140"/>
      <c r="O147" s="140"/>
      <c r="P147" s="140"/>
      <c r="Q147" s="140"/>
      <c r="R147" s="140"/>
      <c r="S147" s="140"/>
      <c r="T147" s="140"/>
      <c r="U147" s="140"/>
      <c r="V147" s="140"/>
    </row>
    <row r="148" spans="1:22">
      <c r="A148" s="140"/>
      <c r="B148" s="140"/>
      <c r="C148" s="27"/>
      <c r="D148" s="28"/>
      <c r="E148" s="140"/>
      <c r="F148" s="140"/>
      <c r="G148" s="140"/>
      <c r="H148" s="140"/>
      <c r="I148" s="140"/>
      <c r="J148" s="140"/>
      <c r="K148" s="140"/>
      <c r="L148" s="140"/>
      <c r="M148" s="140"/>
      <c r="N148" s="140"/>
      <c r="O148" s="140"/>
      <c r="P148" s="140"/>
      <c r="Q148" s="140"/>
      <c r="R148" s="140"/>
      <c r="S148" s="140"/>
      <c r="T148" s="140"/>
      <c r="U148" s="140"/>
      <c r="V148" s="140"/>
    </row>
    <row r="149" spans="1:22">
      <c r="A149" s="140"/>
      <c r="B149" s="141"/>
      <c r="C149" s="27"/>
      <c r="D149" s="28"/>
      <c r="E149" s="140"/>
      <c r="F149" s="140"/>
      <c r="G149" s="140"/>
      <c r="H149" s="140"/>
      <c r="I149" s="140"/>
      <c r="J149" s="140"/>
      <c r="K149" s="140"/>
      <c r="L149" s="140"/>
      <c r="M149" s="140"/>
      <c r="N149" s="140"/>
      <c r="O149" s="140"/>
      <c r="P149" s="140"/>
      <c r="Q149" s="140"/>
      <c r="R149" s="140"/>
      <c r="S149" s="140"/>
      <c r="T149" s="140"/>
      <c r="U149" s="140"/>
      <c r="V149" s="140"/>
    </row>
    <row r="150" spans="1:22">
      <c r="A150" s="140"/>
      <c r="B150" s="141"/>
      <c r="C150" s="177"/>
      <c r="D150" s="28"/>
      <c r="E150" s="140"/>
      <c r="F150" s="140"/>
      <c r="G150" s="140"/>
      <c r="H150" s="140"/>
      <c r="I150" s="140"/>
      <c r="J150" s="140"/>
      <c r="K150" s="140"/>
      <c r="L150" s="140"/>
      <c r="M150" s="140"/>
      <c r="N150" s="140"/>
      <c r="O150" s="140"/>
      <c r="P150" s="140"/>
      <c r="Q150" s="140"/>
      <c r="R150" s="140"/>
      <c r="S150" s="140"/>
      <c r="T150" s="140"/>
      <c r="U150" s="140"/>
      <c r="V150" s="140"/>
    </row>
    <row r="151" spans="1:22">
      <c r="A151" s="140"/>
      <c r="B151" s="163" t="s">
        <v>180</v>
      </c>
      <c r="C151" s="164"/>
      <c r="D151" s="60"/>
      <c r="E151" s="140"/>
      <c r="F151" s="140"/>
      <c r="G151" s="140"/>
      <c r="H151" s="140"/>
      <c r="I151" s="140"/>
      <c r="J151" s="140"/>
      <c r="K151" s="140"/>
      <c r="L151" s="140"/>
      <c r="M151" s="140"/>
      <c r="N151" s="140"/>
      <c r="O151" s="140"/>
      <c r="P151" s="140"/>
      <c r="Q151" s="140"/>
      <c r="R151" s="140"/>
      <c r="S151" s="140"/>
      <c r="T151" s="140"/>
      <c r="U151" s="140"/>
      <c r="V151" s="140"/>
    </row>
    <row r="152" spans="1:22" hidden="1">
      <c r="A152" s="140"/>
      <c r="B152" s="178" t="s">
        <v>181</v>
      </c>
      <c r="C152" s="140"/>
      <c r="D152" s="28"/>
      <c r="E152" s="140"/>
      <c r="F152" s="140"/>
      <c r="G152" s="140"/>
      <c r="H152" s="140"/>
      <c r="I152" s="140"/>
      <c r="J152" s="140"/>
      <c r="K152" s="140"/>
      <c r="L152" s="140"/>
      <c r="M152" s="140"/>
      <c r="N152" s="140"/>
      <c r="O152" s="140"/>
      <c r="P152" s="140"/>
      <c r="Q152" s="140"/>
      <c r="R152" s="140"/>
      <c r="S152" s="140"/>
      <c r="T152" s="140"/>
      <c r="U152" s="140"/>
      <c r="V152" s="140"/>
    </row>
    <row r="153" spans="1:22" hidden="1">
      <c r="A153" s="140"/>
      <c r="B153" s="178" t="s">
        <v>182</v>
      </c>
      <c r="C153" s="140"/>
      <c r="D153" s="28"/>
      <c r="E153" s="140"/>
      <c r="F153" s="140"/>
      <c r="G153" s="140"/>
      <c r="H153" s="140"/>
      <c r="I153" s="140"/>
      <c r="J153" s="140"/>
      <c r="K153" s="140"/>
      <c r="L153" s="140"/>
      <c r="M153" s="140"/>
      <c r="N153" s="140"/>
      <c r="O153" s="140"/>
      <c r="P153" s="140"/>
      <c r="Q153" s="140"/>
      <c r="R153" s="140"/>
      <c r="S153" s="140"/>
      <c r="T153" s="140"/>
      <c r="U153" s="140"/>
      <c r="V153" s="140"/>
    </row>
    <row r="154" spans="1:22" hidden="1">
      <c r="A154" s="140"/>
      <c r="B154" s="178" t="s">
        <v>183</v>
      </c>
      <c r="C154" s="140"/>
      <c r="D154" s="28"/>
      <c r="E154" s="140"/>
      <c r="F154" s="140"/>
      <c r="G154" s="140"/>
      <c r="H154" s="140"/>
      <c r="I154" s="140"/>
      <c r="J154" s="140"/>
      <c r="K154" s="140"/>
      <c r="L154" s="140"/>
      <c r="M154" s="140"/>
      <c r="N154" s="140"/>
      <c r="O154" s="140"/>
      <c r="P154" s="140"/>
      <c r="Q154" s="140"/>
      <c r="R154" s="140"/>
      <c r="S154" s="140"/>
      <c r="T154" s="140"/>
      <c r="U154" s="140"/>
      <c r="V154" s="140"/>
    </row>
    <row r="155" spans="1:22" hidden="1">
      <c r="A155" s="140"/>
      <c r="B155" s="178" t="s">
        <v>184</v>
      </c>
      <c r="C155" s="140"/>
      <c r="D155" s="28"/>
      <c r="E155" s="140"/>
      <c r="F155" s="140"/>
      <c r="G155" s="140"/>
      <c r="H155" s="140"/>
      <c r="I155" s="140"/>
      <c r="J155" s="140"/>
      <c r="K155" s="140"/>
      <c r="L155" s="140"/>
      <c r="M155" s="140"/>
      <c r="N155" s="140"/>
      <c r="O155" s="140"/>
      <c r="P155" s="140"/>
      <c r="Q155" s="140"/>
      <c r="R155" s="140"/>
      <c r="S155" s="140"/>
      <c r="T155" s="140"/>
      <c r="U155" s="140"/>
      <c r="V155" s="140"/>
    </row>
    <row r="156" spans="1:22">
      <c r="A156" s="141"/>
      <c r="B156" s="158" t="s">
        <v>185</v>
      </c>
      <c r="C156" s="214">
        <v>12</v>
      </c>
      <c r="D156" s="28" t="s">
        <v>68</v>
      </c>
      <c r="E156" s="140"/>
      <c r="F156" s="140"/>
      <c r="G156" s="140"/>
      <c r="H156" s="140"/>
      <c r="I156" s="140"/>
      <c r="J156" s="140"/>
      <c r="K156" s="140"/>
      <c r="L156" s="140"/>
      <c r="M156" s="140"/>
      <c r="N156" s="140"/>
      <c r="O156" s="140"/>
      <c r="P156" s="140"/>
      <c r="Q156" s="140"/>
      <c r="R156" s="140"/>
      <c r="S156" s="140"/>
      <c r="T156" s="140"/>
      <c r="U156" s="140"/>
      <c r="V156" s="140"/>
    </row>
    <row r="157" spans="1:22">
      <c r="A157" s="158"/>
      <c r="B157" s="158" t="s">
        <v>186</v>
      </c>
      <c r="C157" s="215">
        <f t="shared" ref="C157" si="20">IF(C22="ja",(0.1157-0.029)*1000,0)</f>
        <v>0</v>
      </c>
      <c r="D157" s="28" t="s">
        <v>68</v>
      </c>
      <c r="E157" s="140"/>
      <c r="F157" s="140"/>
      <c r="G157" s="140"/>
      <c r="H157" s="140"/>
      <c r="I157" s="140"/>
      <c r="J157" s="140"/>
      <c r="K157" s="140"/>
      <c r="L157" s="140"/>
      <c r="M157" s="140"/>
      <c r="N157" s="140"/>
      <c r="O157" s="140"/>
      <c r="P157" s="140"/>
      <c r="Q157" s="140"/>
      <c r="R157" s="140"/>
      <c r="S157" s="140"/>
      <c r="T157" s="140"/>
      <c r="U157" s="140"/>
      <c r="V157" s="140"/>
    </row>
    <row r="158" spans="1:22">
      <c r="A158" s="140"/>
      <c r="B158" s="158"/>
      <c r="C158" s="214">
        <f>C157/3.6</f>
        <v>0</v>
      </c>
      <c r="D158" s="28" t="s">
        <v>68</v>
      </c>
      <c r="E158" s="140"/>
      <c r="F158" s="140"/>
      <c r="G158" s="140"/>
      <c r="H158" s="140"/>
      <c r="I158" s="140"/>
      <c r="J158" s="140"/>
      <c r="K158" s="140"/>
      <c r="L158" s="140"/>
      <c r="M158" s="140"/>
      <c r="N158" s="140"/>
      <c r="O158" s="140"/>
      <c r="P158" s="140"/>
      <c r="Q158" s="140"/>
      <c r="R158" s="140"/>
      <c r="S158" s="140"/>
      <c r="T158" s="140"/>
      <c r="U158" s="140"/>
      <c r="V158" s="140"/>
    </row>
    <row r="159" spans="1:22">
      <c r="A159" s="140"/>
      <c r="B159" s="158"/>
      <c r="C159" s="179"/>
      <c r="D159" s="158"/>
      <c r="E159" s="140"/>
      <c r="F159" s="140"/>
      <c r="G159" s="140"/>
      <c r="H159" s="140"/>
      <c r="I159" s="140"/>
      <c r="J159" s="140"/>
      <c r="K159" s="140"/>
      <c r="L159" s="140"/>
      <c r="M159" s="140"/>
      <c r="N159" s="140"/>
      <c r="O159" s="140"/>
      <c r="P159" s="140"/>
      <c r="Q159" s="140"/>
      <c r="R159" s="140"/>
      <c r="S159" s="140"/>
      <c r="T159" s="140"/>
      <c r="U159" s="140"/>
      <c r="V159" s="140"/>
    </row>
    <row r="160" spans="1:22">
      <c r="A160" s="140"/>
      <c r="B160" s="163" t="s">
        <v>187</v>
      </c>
      <c r="C160" s="180"/>
      <c r="D160" s="60"/>
      <c r="E160" s="140"/>
      <c r="F160" s="140"/>
      <c r="G160" s="140"/>
      <c r="H160" s="140"/>
      <c r="I160" s="140"/>
      <c r="J160" s="140"/>
      <c r="K160" s="140"/>
      <c r="L160" s="140"/>
      <c r="M160" s="140"/>
      <c r="N160" s="140"/>
      <c r="O160" s="140"/>
      <c r="P160" s="140"/>
      <c r="Q160" s="140"/>
      <c r="R160" s="140"/>
      <c r="S160" s="140"/>
      <c r="T160" s="140"/>
      <c r="U160" s="140"/>
      <c r="V160" s="140"/>
    </row>
    <row r="161" spans="1:22">
      <c r="A161" s="158"/>
      <c r="B161" s="158" t="s">
        <v>188</v>
      </c>
      <c r="C161" s="57">
        <v>83.1</v>
      </c>
      <c r="D161" s="28" t="s">
        <v>189</v>
      </c>
      <c r="E161" s="140"/>
      <c r="F161" s="140"/>
      <c r="G161" s="140"/>
      <c r="H161" s="140"/>
      <c r="I161" s="140"/>
      <c r="J161" s="140"/>
      <c r="K161" s="140"/>
      <c r="L161" s="140"/>
      <c r="M161" s="140"/>
      <c r="N161" s="140"/>
      <c r="O161" s="140"/>
      <c r="P161" s="140"/>
      <c r="Q161" s="140"/>
      <c r="R161" s="140"/>
      <c r="S161" s="140"/>
      <c r="T161" s="140"/>
      <c r="U161" s="140"/>
      <c r="V161" s="140"/>
    </row>
    <row r="162" spans="1:22">
      <c r="A162" s="158"/>
      <c r="B162" s="158" t="s">
        <v>190</v>
      </c>
      <c r="C162" s="58">
        <v>1.788</v>
      </c>
      <c r="D162" s="158" t="s">
        <v>191</v>
      </c>
      <c r="E162" s="140"/>
      <c r="F162" s="140"/>
      <c r="G162" s="140"/>
      <c r="H162" s="140"/>
      <c r="I162" s="140"/>
      <c r="J162" s="140"/>
      <c r="K162" s="140"/>
      <c r="L162" s="140"/>
      <c r="M162" s="140"/>
      <c r="N162" s="140"/>
      <c r="O162" s="140"/>
      <c r="P162" s="140"/>
      <c r="Q162" s="140"/>
      <c r="R162" s="140"/>
      <c r="S162" s="140"/>
      <c r="T162" s="140"/>
      <c r="U162" s="140"/>
      <c r="V162" s="140"/>
    </row>
    <row r="163" spans="1:22">
      <c r="A163" s="140"/>
      <c r="B163" s="158"/>
      <c r="C163" s="177"/>
      <c r="D163" s="158"/>
      <c r="E163" s="140"/>
      <c r="F163" s="140"/>
      <c r="G163" s="140"/>
      <c r="H163" s="140"/>
      <c r="I163" s="140"/>
      <c r="J163" s="140"/>
      <c r="K163" s="140"/>
      <c r="L163" s="140"/>
      <c r="M163" s="140"/>
      <c r="N163" s="140"/>
      <c r="O163" s="140"/>
      <c r="P163" s="140"/>
      <c r="Q163" s="140"/>
      <c r="R163" s="140"/>
      <c r="S163" s="140"/>
      <c r="T163" s="140"/>
      <c r="U163" s="140"/>
      <c r="V163" s="140"/>
    </row>
    <row r="164" spans="1:22">
      <c r="A164" s="140"/>
      <c r="B164" s="158"/>
      <c r="C164" s="177"/>
      <c r="D164" s="158"/>
      <c r="E164" s="140"/>
      <c r="F164" s="140"/>
      <c r="G164" s="140"/>
      <c r="H164" s="140"/>
      <c r="I164" s="140"/>
      <c r="J164" s="140"/>
      <c r="K164" s="140"/>
      <c r="L164" s="140"/>
      <c r="M164" s="140"/>
      <c r="N164" s="140"/>
      <c r="O164" s="140"/>
      <c r="P164" s="140"/>
      <c r="Q164" s="140"/>
      <c r="R164" s="140"/>
      <c r="S164" s="140"/>
      <c r="T164" s="140"/>
      <c r="U164" s="140"/>
      <c r="V164" s="140"/>
    </row>
    <row r="165" spans="1:22">
      <c r="A165" s="140"/>
      <c r="B165" s="158"/>
      <c r="C165" s="141"/>
      <c r="D165" s="158"/>
      <c r="E165" s="140"/>
      <c r="F165" s="140"/>
      <c r="G165" s="140"/>
      <c r="H165" s="140"/>
      <c r="I165" s="140"/>
      <c r="J165" s="140"/>
      <c r="K165" s="140"/>
      <c r="L165" s="140"/>
      <c r="M165" s="140"/>
      <c r="N165" s="140"/>
      <c r="O165" s="140"/>
      <c r="P165" s="140"/>
      <c r="Q165" s="140"/>
      <c r="R165" s="140"/>
      <c r="S165" s="140"/>
      <c r="T165" s="140"/>
      <c r="U165" s="140"/>
      <c r="V165" s="140"/>
    </row>
    <row r="166" spans="1:22">
      <c r="A166" s="140"/>
      <c r="B166" s="158"/>
      <c r="C166" s="141"/>
      <c r="D166" s="158"/>
      <c r="E166" s="140"/>
      <c r="F166" s="140"/>
      <c r="G166" s="140"/>
      <c r="H166" s="140"/>
      <c r="I166" s="140"/>
      <c r="J166" s="140"/>
      <c r="K166" s="140"/>
      <c r="L166" s="140"/>
      <c r="M166" s="140"/>
      <c r="N166" s="140"/>
      <c r="O166" s="140"/>
      <c r="P166" s="140"/>
      <c r="Q166" s="140"/>
      <c r="R166" s="140"/>
      <c r="S166" s="140"/>
      <c r="T166" s="140"/>
      <c r="U166" s="140"/>
      <c r="V166" s="140"/>
    </row>
    <row r="167" spans="1:22">
      <c r="A167" s="140"/>
      <c r="B167" s="158"/>
      <c r="C167" s="142"/>
      <c r="D167" s="158"/>
      <c r="E167" s="140"/>
      <c r="F167" s="140"/>
      <c r="G167" s="140"/>
      <c r="H167" s="140"/>
      <c r="I167" s="140"/>
      <c r="J167" s="140"/>
      <c r="K167" s="140"/>
      <c r="L167" s="140"/>
      <c r="M167" s="140"/>
      <c r="N167" s="140"/>
      <c r="O167" s="140"/>
      <c r="P167" s="140"/>
      <c r="Q167" s="140"/>
      <c r="R167" s="140"/>
      <c r="S167" s="140"/>
      <c r="T167" s="140"/>
      <c r="U167" s="140"/>
      <c r="V167" s="140"/>
    </row>
    <row r="168" spans="1:22">
      <c r="A168" s="140"/>
      <c r="B168" s="158"/>
      <c r="C168" s="142"/>
      <c r="D168" s="158"/>
      <c r="E168" s="140"/>
      <c r="F168" s="140"/>
      <c r="G168" s="140"/>
      <c r="H168" s="140"/>
      <c r="I168" s="140"/>
      <c r="J168" s="140"/>
      <c r="K168" s="140"/>
      <c r="L168" s="140"/>
      <c r="M168" s="140"/>
      <c r="N168" s="140"/>
      <c r="O168" s="140"/>
      <c r="P168" s="140"/>
      <c r="Q168" s="140"/>
      <c r="R168" s="140"/>
      <c r="S168" s="140"/>
      <c r="T168" s="140"/>
      <c r="U168" s="140"/>
      <c r="V168" s="140"/>
    </row>
    <row r="169" spans="1:22">
      <c r="A169" s="140"/>
      <c r="B169" s="158"/>
      <c r="C169" s="181"/>
      <c r="D169" s="158"/>
      <c r="E169" s="140"/>
      <c r="F169" s="140"/>
      <c r="G169" s="140"/>
      <c r="H169" s="140"/>
      <c r="I169" s="140"/>
      <c r="J169" s="140"/>
      <c r="K169" s="140"/>
      <c r="L169" s="140"/>
      <c r="M169" s="140"/>
      <c r="N169" s="140"/>
      <c r="O169" s="140"/>
      <c r="P169" s="140"/>
      <c r="Q169" s="140"/>
      <c r="R169" s="140"/>
      <c r="S169" s="140"/>
      <c r="T169" s="140"/>
      <c r="U169" s="140"/>
      <c r="V169" s="140"/>
    </row>
    <row r="170" spans="1:22">
      <c r="A170" s="140"/>
      <c r="B170" s="158"/>
      <c r="C170" s="141"/>
      <c r="D170" s="158"/>
      <c r="E170" s="140"/>
      <c r="F170" s="140"/>
      <c r="G170" s="140"/>
      <c r="H170" s="140"/>
      <c r="I170" s="140"/>
      <c r="J170" s="140"/>
      <c r="K170" s="140"/>
      <c r="L170" s="140"/>
      <c r="M170" s="140"/>
      <c r="N170" s="140"/>
      <c r="O170" s="140"/>
      <c r="P170" s="140"/>
      <c r="Q170" s="140"/>
      <c r="R170" s="140"/>
      <c r="S170" s="140"/>
      <c r="T170" s="140"/>
      <c r="U170" s="140"/>
      <c r="V170" s="140"/>
    </row>
    <row r="171" spans="1:22">
      <c r="A171" s="140"/>
      <c r="B171" s="158"/>
      <c r="C171" s="141"/>
      <c r="D171" s="158"/>
      <c r="E171" s="140"/>
      <c r="F171" s="140"/>
      <c r="G171" s="140"/>
      <c r="H171" s="140"/>
      <c r="I171" s="140"/>
      <c r="J171" s="140"/>
      <c r="K171" s="140"/>
      <c r="L171" s="140"/>
      <c r="M171" s="140"/>
      <c r="N171" s="140"/>
      <c r="O171" s="140"/>
      <c r="P171" s="140"/>
      <c r="Q171" s="140"/>
      <c r="R171" s="140"/>
      <c r="S171" s="140"/>
      <c r="T171" s="140"/>
      <c r="U171" s="140"/>
      <c r="V171" s="140"/>
    </row>
  </sheetData>
  <phoneticPr fontId="14" type="noConversion"/>
  <pageMargins left="0.7" right="0.7" top="0.75" bottom="0.75" header="0.3" footer="0.3"/>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AC24-5D75-4FEA-9C5A-152F95CC9479}">
  <sheetPr codeName="Blad10">
    <tabColor theme="8" tint="0.79998168889431442"/>
  </sheetPr>
  <dimension ref="A2:Y219"/>
  <sheetViews>
    <sheetView tabSelected="1" zoomScale="80" zoomScaleNormal="80" workbookViewId="0">
      <pane xSplit="3" ySplit="7" topLeftCell="D8" activePane="bottomRight" state="frozen"/>
      <selection pane="topRight" sqref="A1:XFD40"/>
      <selection pane="bottomLeft" sqref="A1:XFD40"/>
      <selection pane="bottomRight" activeCell="D8" sqref="D8"/>
    </sheetView>
  </sheetViews>
  <sheetFormatPr defaultColWidth="9" defaultRowHeight="12.75" outlineLevelRow="2"/>
  <cols>
    <col min="1" max="1" width="5" style="69" customWidth="1"/>
    <col min="2" max="2" width="47" style="70" bestFit="1" customWidth="1"/>
    <col min="3" max="3" width="27.140625" style="71" customWidth="1"/>
    <col min="4" max="4" width="43.28515625" style="69" customWidth="1"/>
    <col min="5" max="16384" width="9" style="69"/>
  </cols>
  <sheetData>
    <row r="2" spans="1:25" s="65" customFormat="1" ht="15.75">
      <c r="A2" s="139"/>
      <c r="B2" s="61" t="s">
        <v>0</v>
      </c>
      <c r="C2" s="1" t="s">
        <v>1</v>
      </c>
      <c r="D2" s="159"/>
      <c r="E2" s="140"/>
      <c r="F2" s="140"/>
      <c r="G2" s="140"/>
      <c r="H2" s="140"/>
      <c r="I2" s="140"/>
      <c r="J2" s="140"/>
      <c r="K2" s="140"/>
      <c r="L2" s="140"/>
      <c r="M2" s="140"/>
      <c r="N2" s="140"/>
      <c r="O2" s="140"/>
      <c r="P2" s="140"/>
      <c r="Q2" s="140"/>
      <c r="R2" s="140"/>
      <c r="S2" s="140"/>
      <c r="T2" s="140"/>
      <c r="U2" s="140"/>
      <c r="V2" s="140"/>
      <c r="W2" s="140"/>
      <c r="X2" s="140"/>
      <c r="Y2" s="140"/>
    </row>
    <row r="3" spans="1:25" s="65" customFormat="1" ht="15.75">
      <c r="A3" s="139"/>
      <c r="B3" s="62" t="s">
        <v>2</v>
      </c>
      <c r="C3" s="2" t="s">
        <v>3</v>
      </c>
      <c r="D3" s="160"/>
      <c r="E3" s="140"/>
      <c r="F3" s="140"/>
      <c r="G3" s="140"/>
      <c r="H3" s="140"/>
      <c r="I3" s="140"/>
      <c r="J3" s="140"/>
      <c r="K3" s="140"/>
      <c r="L3" s="140"/>
      <c r="M3" s="140"/>
      <c r="N3" s="140"/>
      <c r="O3" s="140"/>
      <c r="P3" s="140"/>
      <c r="Q3" s="140"/>
      <c r="R3" s="140"/>
      <c r="S3" s="140"/>
      <c r="T3" s="140"/>
      <c r="U3" s="140"/>
      <c r="V3" s="140"/>
      <c r="W3" s="140"/>
      <c r="X3" s="140"/>
      <c r="Y3" s="140"/>
    </row>
    <row r="4" spans="1:25" s="65" customFormat="1" ht="15">
      <c r="A4" s="139"/>
      <c r="B4" s="63" t="s">
        <v>4</v>
      </c>
      <c r="C4" s="3" t="s">
        <v>18</v>
      </c>
      <c r="D4" s="161"/>
      <c r="E4" s="140"/>
      <c r="F4" s="140"/>
      <c r="G4" s="140"/>
      <c r="H4" s="140"/>
      <c r="I4" s="140"/>
      <c r="J4" s="140"/>
      <c r="K4" s="140"/>
      <c r="L4" s="140"/>
      <c r="M4" s="140"/>
      <c r="N4" s="140"/>
      <c r="O4" s="140"/>
      <c r="P4" s="140"/>
      <c r="Q4" s="140"/>
      <c r="R4" s="140"/>
      <c r="S4" s="140"/>
      <c r="T4" s="140"/>
      <c r="U4" s="140"/>
      <c r="V4" s="140"/>
      <c r="W4" s="140"/>
      <c r="X4" s="140"/>
      <c r="Y4" s="140"/>
    </row>
    <row r="5" spans="1:25">
      <c r="A5" s="140"/>
      <c r="B5" s="158"/>
      <c r="C5" s="141"/>
      <c r="D5" s="140"/>
      <c r="E5" s="140"/>
      <c r="F5" s="140"/>
      <c r="G5" s="140"/>
      <c r="H5" s="140"/>
      <c r="I5" s="140"/>
      <c r="J5" s="140"/>
      <c r="K5" s="140"/>
      <c r="L5" s="140"/>
      <c r="M5" s="140"/>
      <c r="N5" s="140"/>
      <c r="O5" s="140"/>
      <c r="P5" s="140"/>
      <c r="Q5" s="140"/>
      <c r="R5" s="140"/>
      <c r="S5" s="140"/>
      <c r="T5" s="140"/>
      <c r="U5" s="140"/>
      <c r="V5" s="140"/>
      <c r="W5" s="140"/>
      <c r="X5" s="140"/>
      <c r="Y5" s="140"/>
    </row>
    <row r="6" spans="1:25">
      <c r="A6" s="140"/>
      <c r="B6" s="5" t="s">
        <v>21</v>
      </c>
      <c r="C6" s="124" t="s">
        <v>60</v>
      </c>
      <c r="D6" s="140"/>
      <c r="E6" s="140"/>
      <c r="F6" s="140"/>
      <c r="G6" s="140"/>
      <c r="H6" s="140"/>
      <c r="I6" s="140"/>
      <c r="J6" s="140"/>
      <c r="K6" s="140"/>
      <c r="L6" s="140"/>
      <c r="M6" s="140"/>
      <c r="N6" s="140"/>
      <c r="O6" s="140"/>
      <c r="P6" s="140"/>
      <c r="Q6" s="140"/>
      <c r="R6" s="140"/>
      <c r="S6" s="140"/>
      <c r="T6" s="140"/>
      <c r="U6" s="140"/>
      <c r="V6" s="140"/>
      <c r="W6" s="140"/>
      <c r="X6" s="140"/>
      <c r="Y6" s="140"/>
    </row>
    <row r="7" spans="1:25">
      <c r="A7" s="140"/>
      <c r="B7" s="158"/>
      <c r="C7" s="141"/>
      <c r="D7" s="140"/>
      <c r="E7" s="140"/>
      <c r="F7" s="140"/>
      <c r="G7" s="140"/>
      <c r="H7" s="140"/>
      <c r="I7" s="140"/>
      <c r="J7" s="140"/>
      <c r="K7" s="140"/>
      <c r="L7" s="140"/>
      <c r="M7" s="140"/>
      <c r="N7" s="140"/>
      <c r="O7" s="140"/>
      <c r="P7" s="140"/>
      <c r="Q7" s="140"/>
      <c r="R7" s="140"/>
      <c r="S7" s="140"/>
      <c r="T7" s="140"/>
      <c r="U7" s="140"/>
      <c r="V7" s="140"/>
      <c r="W7" s="140"/>
      <c r="X7" s="140"/>
      <c r="Y7" s="140"/>
    </row>
    <row r="8" spans="1:25" s="71" customFormat="1">
      <c r="A8" s="141"/>
      <c r="B8" s="162" t="str">
        <f>'1.2 Varianten'!B8</f>
        <v>Vermogen afnemer</v>
      </c>
      <c r="C8" s="8">
        <f>'1.2 Varianten'!C8</f>
        <v>5</v>
      </c>
      <c r="D8" s="141"/>
      <c r="E8" s="141"/>
      <c r="F8" s="141"/>
      <c r="G8" s="141"/>
      <c r="H8" s="141"/>
      <c r="I8" s="141"/>
      <c r="J8" s="141"/>
      <c r="K8" s="141"/>
      <c r="L8" s="141"/>
      <c r="M8" s="141"/>
      <c r="N8" s="141"/>
      <c r="O8" s="141"/>
      <c r="P8" s="141"/>
      <c r="Q8" s="141"/>
      <c r="R8" s="141"/>
      <c r="S8" s="141"/>
      <c r="T8" s="141"/>
      <c r="U8" s="141"/>
      <c r="V8" s="141"/>
      <c r="W8" s="141"/>
      <c r="X8" s="141"/>
      <c r="Y8" s="141"/>
    </row>
    <row r="9" spans="1:25" s="71" customFormat="1">
      <c r="A9" s="141"/>
      <c r="B9" s="162" t="str">
        <f>'1.2 Varianten'!B9</f>
        <v>Vollasturen warmtenet</v>
      </c>
      <c r="C9" s="9">
        <f>'1.2 Varianten'!C9</f>
        <v>3500</v>
      </c>
      <c r="D9" s="141"/>
      <c r="E9" s="141"/>
      <c r="F9" s="141"/>
      <c r="G9" s="141"/>
      <c r="H9" s="141"/>
      <c r="I9" s="141"/>
      <c r="J9" s="141"/>
      <c r="K9" s="141"/>
      <c r="L9" s="141"/>
      <c r="M9" s="141"/>
      <c r="N9" s="141"/>
      <c r="O9" s="141"/>
      <c r="P9" s="141"/>
      <c r="Q9" s="141"/>
      <c r="R9" s="141"/>
      <c r="S9" s="141"/>
      <c r="T9" s="141"/>
      <c r="U9" s="141"/>
      <c r="V9" s="141"/>
      <c r="W9" s="141"/>
      <c r="X9" s="141"/>
      <c r="Y9" s="141"/>
    </row>
    <row r="10" spans="1:25">
      <c r="A10" s="140"/>
      <c r="B10" s="162" t="str">
        <f>'1.2 Varianten'!B10</f>
        <v>Vollasturen aquathermie systeem</v>
      </c>
      <c r="C10" s="9">
        <f>'1.2 Varianten'!C10</f>
        <v>3000</v>
      </c>
      <c r="D10" s="140"/>
      <c r="E10" s="140"/>
      <c r="F10" s="140"/>
      <c r="G10" s="140"/>
      <c r="H10" s="140"/>
      <c r="I10" s="140"/>
      <c r="J10" s="140"/>
      <c r="K10" s="140"/>
      <c r="L10" s="140"/>
      <c r="M10" s="140"/>
      <c r="N10" s="140"/>
      <c r="O10" s="140"/>
      <c r="P10" s="140"/>
      <c r="Q10" s="140"/>
      <c r="R10" s="140"/>
      <c r="S10" s="140"/>
      <c r="T10" s="140"/>
      <c r="U10" s="140"/>
      <c r="V10" s="140"/>
      <c r="W10" s="140"/>
      <c r="X10" s="140"/>
      <c r="Y10" s="140"/>
    </row>
    <row r="11" spans="1:25" s="71" customFormat="1">
      <c r="A11" s="141"/>
      <c r="B11" s="162" t="str">
        <f>'1.2 Varianten'!B11</f>
        <v>Temperatuurtraject aquathermie systeem (deltaT)</v>
      </c>
      <c r="C11" s="11">
        <f>'1.2 Varianten'!C11</f>
        <v>5</v>
      </c>
      <c r="D11" s="141"/>
      <c r="E11" s="141"/>
      <c r="F11" s="141"/>
      <c r="G11" s="141"/>
      <c r="H11" s="141"/>
      <c r="I11" s="141"/>
      <c r="J11" s="141"/>
      <c r="K11" s="141"/>
      <c r="L11" s="141"/>
      <c r="M11" s="141"/>
      <c r="N11" s="141"/>
      <c r="O11" s="141"/>
      <c r="P11" s="141"/>
      <c r="Q11" s="141"/>
      <c r="R11" s="141"/>
      <c r="S11" s="141"/>
      <c r="T11" s="141"/>
      <c r="U11" s="141"/>
      <c r="V11" s="141"/>
      <c r="W11" s="141"/>
      <c r="X11" s="141"/>
      <c r="Y11" s="141"/>
    </row>
    <row r="12" spans="1:25" s="41" customFormat="1">
      <c r="A12" s="141"/>
      <c r="B12" s="162" t="str">
        <f>'1.2 Varianten'!B12</f>
        <v>Elektriciteitsprijs</v>
      </c>
      <c r="C12" s="133">
        <f>'1.2 Varianten'!C12</f>
        <v>68</v>
      </c>
      <c r="D12" s="141"/>
      <c r="E12" s="141"/>
      <c r="F12" s="141"/>
      <c r="G12" s="141"/>
      <c r="H12" s="141"/>
      <c r="I12" s="141"/>
      <c r="J12" s="141"/>
      <c r="K12" s="141"/>
      <c r="L12" s="141"/>
      <c r="M12" s="141"/>
      <c r="N12" s="141"/>
      <c r="O12" s="141"/>
      <c r="P12" s="141"/>
      <c r="Q12" s="141"/>
      <c r="R12" s="141"/>
      <c r="S12" s="141"/>
      <c r="T12" s="141"/>
      <c r="U12" s="141"/>
      <c r="V12" s="141"/>
      <c r="W12" s="141"/>
      <c r="X12" s="141"/>
      <c r="Y12" s="141"/>
    </row>
    <row r="13" spans="1:25" s="71" customFormat="1">
      <c r="A13" s="141"/>
      <c r="B13" s="162" t="str">
        <f>'1.2 Varianten'!B13</f>
        <v>Vermogensaandeel piekvoorziening</v>
      </c>
      <c r="C13" s="10">
        <f>'1.2 Varianten'!C13</f>
        <v>0.5</v>
      </c>
      <c r="D13" s="141"/>
      <c r="E13" s="141"/>
      <c r="F13" s="141"/>
      <c r="G13" s="141"/>
      <c r="H13" s="141"/>
      <c r="I13" s="141"/>
      <c r="J13" s="141"/>
      <c r="K13" s="141"/>
      <c r="L13" s="141"/>
      <c r="M13" s="141"/>
      <c r="N13" s="141"/>
      <c r="O13" s="141"/>
      <c r="P13" s="141"/>
      <c r="Q13" s="141"/>
      <c r="R13" s="141"/>
      <c r="S13" s="141"/>
      <c r="T13" s="141"/>
      <c r="U13" s="141"/>
      <c r="V13" s="141"/>
      <c r="W13" s="141"/>
      <c r="X13" s="141"/>
      <c r="Y13" s="141"/>
    </row>
    <row r="14" spans="1:25" s="71" customFormat="1">
      <c r="A14" s="141"/>
      <c r="B14" s="162" t="str">
        <f>'1.2 Varianten'!B14</f>
        <v>Impact WKO</v>
      </c>
      <c r="C14" s="8" t="str">
        <f>'1.2 Varianten'!C14</f>
        <v>met WKO</v>
      </c>
      <c r="D14" s="141"/>
      <c r="E14" s="141"/>
      <c r="F14" s="141"/>
      <c r="G14" s="141"/>
      <c r="H14" s="141"/>
      <c r="I14" s="141"/>
      <c r="J14" s="141"/>
      <c r="K14" s="141"/>
      <c r="L14" s="141"/>
      <c r="M14" s="141"/>
      <c r="N14" s="141"/>
      <c r="O14" s="141"/>
      <c r="P14" s="141"/>
      <c r="Q14" s="141"/>
      <c r="R14" s="141"/>
      <c r="S14" s="141"/>
      <c r="T14" s="141"/>
      <c r="U14" s="141"/>
      <c r="V14" s="141"/>
      <c r="W14" s="141"/>
      <c r="X14" s="141"/>
      <c r="Y14" s="141"/>
    </row>
    <row r="15" spans="1:25" s="71" customFormat="1">
      <c r="A15" s="141"/>
      <c r="B15" s="162" t="str">
        <f>'1.2 Varianten'!B15</f>
        <v>WKO opslagcapaciteit per brondoublet</v>
      </c>
      <c r="C15" s="12">
        <f>'1.2 Varianten'!C15</f>
        <v>90</v>
      </c>
      <c r="D15" s="141"/>
      <c r="E15" s="141"/>
      <c r="F15" s="141"/>
      <c r="G15" s="141"/>
      <c r="H15" s="141"/>
      <c r="I15" s="141"/>
      <c r="J15" s="141"/>
      <c r="K15" s="141"/>
      <c r="L15" s="141"/>
      <c r="M15" s="141"/>
      <c r="N15" s="141"/>
      <c r="O15" s="141"/>
      <c r="P15" s="141"/>
      <c r="Q15" s="141"/>
      <c r="R15" s="141"/>
      <c r="S15" s="141"/>
      <c r="T15" s="141"/>
      <c r="U15" s="141"/>
      <c r="V15" s="141"/>
      <c r="W15" s="141"/>
      <c r="X15" s="141"/>
      <c r="Y15" s="141"/>
    </row>
    <row r="16" spans="1:25" s="71" customFormat="1">
      <c r="A16" s="141"/>
      <c r="B16" s="162" t="str">
        <f>'1.2 Varianten'!B16</f>
        <v>Diepte WKO bronnen</v>
      </c>
      <c r="C16" s="13">
        <f>'1.2 Varianten'!C16</f>
        <v>150</v>
      </c>
      <c r="D16" s="141"/>
      <c r="E16" s="141"/>
      <c r="F16" s="141"/>
      <c r="G16" s="141"/>
      <c r="H16" s="141"/>
      <c r="I16" s="141"/>
      <c r="J16" s="141"/>
      <c r="K16" s="141"/>
      <c r="L16" s="141"/>
      <c r="M16" s="141"/>
      <c r="N16" s="141"/>
      <c r="O16" s="141"/>
      <c r="P16" s="141"/>
      <c r="Q16" s="141"/>
      <c r="R16" s="141"/>
      <c r="S16" s="141"/>
      <c r="T16" s="141"/>
      <c r="U16" s="141"/>
      <c r="V16" s="141"/>
      <c r="W16" s="141"/>
      <c r="X16" s="141"/>
      <c r="Y16" s="141"/>
    </row>
    <row r="17" spans="1:4" s="71" customFormat="1">
      <c r="A17" s="141"/>
      <c r="B17" s="162" t="str">
        <f>'1.2 Varianten'!B17</f>
        <v>Leidingwerk tussen aquathermie en TR</v>
      </c>
      <c r="C17" s="13">
        <f>'1.2 Varianten'!C17</f>
        <v>500</v>
      </c>
      <c r="D17" s="141"/>
    </row>
    <row r="18" spans="1:4" s="71" customFormat="1">
      <c r="A18" s="141"/>
      <c r="B18" s="162" t="str">
        <f>'1.2 Varianten'!B18</f>
        <v>Leidingwerk tussen bronnen en TR</v>
      </c>
      <c r="C18" s="13">
        <f>'1.2 Varianten'!C18</f>
        <v>500</v>
      </c>
      <c r="D18" s="141"/>
    </row>
    <row r="19" spans="1:4" s="71" customFormat="1">
      <c r="A19" s="141"/>
      <c r="B19" s="162" t="str">
        <f>'1.2 Varianten'!B19</f>
        <v>Situatie onttrekking</v>
      </c>
      <c r="C19" s="8" t="str">
        <f>'1.2 Varianten'!C19</f>
        <v>stedelijk</v>
      </c>
      <c r="D19" s="141"/>
    </row>
    <row r="20" spans="1:4" s="71" customFormat="1">
      <c r="A20" s="141"/>
      <c r="B20" s="162" t="str">
        <f>'1.2 Varianten'!B20</f>
        <v>Energiekosten (inflatie)</v>
      </c>
      <c r="C20" s="10">
        <f>'1.2 Varianten'!C20</f>
        <v>0.03</v>
      </c>
      <c r="D20" s="141"/>
    </row>
    <row r="21" spans="1:4" s="71" customFormat="1">
      <c r="A21" s="141"/>
      <c r="B21" s="162" t="str">
        <f>'1.2 Varianten'!B21</f>
        <v>Rendementseis</v>
      </c>
      <c r="C21" s="10">
        <f>'1.2 Varianten'!C21</f>
        <v>0.06</v>
      </c>
      <c r="D21" s="141"/>
    </row>
    <row r="22" spans="1:4" s="71" customFormat="1">
      <c r="A22" s="141"/>
      <c r="B22" s="162" t="str">
        <f>'1.2 Varianten'!B22</f>
        <v>Toepassing SDE++ subsidie</v>
      </c>
      <c r="C22" s="8" t="str">
        <f>'1.2 Varianten'!C22</f>
        <v>nee</v>
      </c>
      <c r="D22" s="141"/>
    </row>
    <row r="23" spans="1:4" s="71" customFormat="1">
      <c r="A23" s="141"/>
      <c r="B23" s="162" t="str">
        <f>'1.2 Varianten'!B23</f>
        <v>Variant met TEA/TEO</v>
      </c>
      <c r="C23" s="10" t="str">
        <f>'1.2 Varianten'!C23</f>
        <v>TEO</v>
      </c>
      <c r="D23" s="141"/>
    </row>
    <row r="24" spans="1:4" s="71" customFormat="1">
      <c r="A24" s="141"/>
      <c r="B24" s="162" t="str">
        <f>'1.2 Varianten'!B24</f>
        <v>Aanvoertemperatuur warmtenet</v>
      </c>
      <c r="C24" s="141">
        <f>'1.2 Varianten'!C24</f>
        <v>70</v>
      </c>
      <c r="D24" s="141"/>
    </row>
    <row r="25" spans="1:4">
      <c r="A25" s="140"/>
      <c r="B25" s="72"/>
      <c r="C25" s="10"/>
      <c r="D25" s="140"/>
    </row>
    <row r="26" spans="1:4">
      <c r="A26" s="140"/>
      <c r="B26" s="90" t="s">
        <v>192</v>
      </c>
      <c r="C26" s="125" t="s">
        <v>60</v>
      </c>
      <c r="D26" s="140"/>
    </row>
    <row r="27" spans="1:4">
      <c r="A27" s="140"/>
      <c r="B27" s="158"/>
      <c r="C27" s="141"/>
      <c r="D27" s="140"/>
    </row>
    <row r="28" spans="1:4">
      <c r="A28" s="140"/>
      <c r="B28" s="163" t="s">
        <v>193</v>
      </c>
      <c r="C28" s="164"/>
      <c r="D28" s="140"/>
    </row>
    <row r="29" spans="1:4" s="32" customFormat="1" hidden="1" outlineLevel="1">
      <c r="B29" s="28" t="s">
        <v>194</v>
      </c>
      <c r="C29" s="73">
        <f>'1.4 Kenmerken'!C110*'1.4 Kenmerken'!C80*1000*2</f>
        <v>150000</v>
      </c>
      <c r="D29" s="73"/>
    </row>
    <row r="30" spans="1:4" s="32" customFormat="1" hidden="1" outlineLevel="1">
      <c r="B30" s="28" t="s">
        <v>195</v>
      </c>
      <c r="C30" s="73">
        <f>'1.4 Kenmerken'!C75*'1.4 Kenmerken'!C112</f>
        <v>3664.8888888888887</v>
      </c>
      <c r="D30" s="73"/>
    </row>
    <row r="31" spans="1:4" collapsed="1">
      <c r="A31" s="158"/>
      <c r="B31" s="158" t="s">
        <v>196</v>
      </c>
      <c r="C31" s="182">
        <f>ROUND(C29+C30,-4)</f>
        <v>150000</v>
      </c>
      <c r="D31" s="182"/>
    </row>
    <row r="32" spans="1:4" s="32" customFormat="1" hidden="1" outlineLevel="2">
      <c r="A32" s="158"/>
      <c r="B32" s="28" t="s">
        <v>197</v>
      </c>
      <c r="C32" s="73">
        <f>'1.4 Kenmerken'!C113*'1.4 Kenmerken'!C80*1000*2</f>
        <v>550000</v>
      </c>
      <c r="D32" s="73"/>
    </row>
    <row r="33" spans="1:4" s="32" customFormat="1" hidden="1" outlineLevel="2">
      <c r="A33" s="158"/>
      <c r="B33" s="28" t="s">
        <v>198</v>
      </c>
      <c r="C33" s="73">
        <f>'1.4 Kenmerken'!C75*2000</f>
        <v>7329.7777777777774</v>
      </c>
      <c r="D33" s="73"/>
    </row>
    <row r="34" spans="1:4" s="32" customFormat="1" hidden="1" outlineLevel="2">
      <c r="A34" s="158"/>
      <c r="B34" s="28" t="s">
        <v>199</v>
      </c>
      <c r="C34" s="73">
        <f>ROUND('1.4 Kenmerken'!C83*500,-3)</f>
        <v>15000</v>
      </c>
      <c r="D34" s="73"/>
    </row>
    <row r="35" spans="1:4" collapsed="1">
      <c r="A35" s="158"/>
      <c r="B35" s="158" t="s">
        <v>200</v>
      </c>
      <c r="C35" s="182">
        <f>ROUND(C32+C33+C34,-4)</f>
        <v>570000</v>
      </c>
      <c r="D35" s="182"/>
    </row>
    <row r="36" spans="1:4">
      <c r="A36" s="158"/>
      <c r="B36" s="141" t="s">
        <v>165</v>
      </c>
      <c r="C36" s="182">
        <f>ROUND((C35)*'1.4 Kenmerken'!C133,-4)</f>
        <v>90000</v>
      </c>
      <c r="D36" s="182"/>
    </row>
    <row r="37" spans="1:4">
      <c r="A37" s="158"/>
      <c r="B37" s="158" t="s">
        <v>201</v>
      </c>
      <c r="C37" s="182">
        <f>ROUND(SUM(C35:C36,C31)*'1.4 Kenmerken'!C134,-4)</f>
        <v>80000</v>
      </c>
      <c r="D37" s="182"/>
    </row>
    <row r="38" spans="1:4">
      <c r="A38" s="158"/>
      <c r="B38" s="158" t="s">
        <v>202</v>
      </c>
      <c r="C38" s="182">
        <f>ROUND((SUM(C35:C37,C31)*SUM('1.4 Kenmerken'!C135:C139))+(('1.4 Kenmerken'!C83)/0.85*110),-4)</f>
        <v>90000</v>
      </c>
      <c r="D38" s="182"/>
    </row>
    <row r="39" spans="1:4">
      <c r="A39" s="158"/>
      <c r="B39" s="158" t="s">
        <v>203</v>
      </c>
      <c r="C39" s="182">
        <f>ROUND(SUM(C35:C38,C31)*SUM('1.4 Kenmerken'!C140:C141),-4)</f>
        <v>20000</v>
      </c>
      <c r="D39" s="182"/>
    </row>
    <row r="40" spans="1:4" s="7" customFormat="1">
      <c r="A40" s="158"/>
      <c r="B40" s="6" t="s">
        <v>204</v>
      </c>
      <c r="C40" s="74">
        <f t="shared" ref="C40" si="0">ROUND((SUM(C35:C39,C31)),-5)</f>
        <v>1000000</v>
      </c>
      <c r="D40" s="74"/>
    </row>
    <row r="41" spans="1:4" s="7" customFormat="1">
      <c r="A41" s="158"/>
      <c r="B41" s="6"/>
      <c r="C41" s="75">
        <f>C40/('1.4 Kenmerken'!C8*1000)</f>
        <v>200</v>
      </c>
      <c r="D41" s="75"/>
    </row>
    <row r="42" spans="1:4" s="7" customFormat="1">
      <c r="A42" s="158"/>
      <c r="C42" s="75"/>
      <c r="D42" s="75"/>
    </row>
    <row r="43" spans="1:4">
      <c r="A43" s="158"/>
      <c r="B43" s="158" t="s">
        <v>205</v>
      </c>
      <c r="C43" s="183">
        <v>30</v>
      </c>
      <c r="D43" s="183"/>
    </row>
    <row r="44" spans="1:4" s="7" customFormat="1">
      <c r="A44" s="158"/>
      <c r="B44" s="158" t="s">
        <v>206</v>
      </c>
      <c r="C44" s="184">
        <f>(C40-C39)/C43</f>
        <v>32666.666666666668</v>
      </c>
      <c r="D44" s="185"/>
    </row>
    <row r="45" spans="1:4">
      <c r="A45" s="158"/>
      <c r="B45" s="140"/>
      <c r="C45" s="167"/>
      <c r="D45" s="167"/>
    </row>
    <row r="46" spans="1:4">
      <c r="A46" s="158"/>
      <c r="B46" s="163" t="s">
        <v>207</v>
      </c>
      <c r="C46" s="164"/>
      <c r="D46" s="140"/>
    </row>
    <row r="47" spans="1:4" s="32" customFormat="1" hidden="1" outlineLevel="1">
      <c r="A47" s="158"/>
      <c r="B47" s="28" t="s">
        <v>208</v>
      </c>
      <c r="C47" s="73">
        <f>'1.4 Kenmerken'!C110*'1.4 Kenmerken'!C93*1000*2</f>
        <v>150000</v>
      </c>
      <c r="D47" s="73"/>
    </row>
    <row r="48" spans="1:4" s="32" customFormat="1" hidden="1" outlineLevel="1">
      <c r="A48" s="158"/>
      <c r="B48" s="28" t="s">
        <v>209</v>
      </c>
      <c r="C48" s="73">
        <f>'1.4 Kenmerken'!C86*1000</f>
        <v>1666.6666666666665</v>
      </c>
      <c r="D48" s="73"/>
    </row>
    <row r="49" spans="1:4" collapsed="1">
      <c r="A49" s="158"/>
      <c r="B49" s="158" t="s">
        <v>196</v>
      </c>
      <c r="C49" s="182">
        <f t="shared" ref="C49" si="1">ROUND(C47+C48,-4)</f>
        <v>150000</v>
      </c>
      <c r="D49" s="182"/>
    </row>
    <row r="50" spans="1:4" s="32" customFormat="1" hidden="1" outlineLevel="2">
      <c r="A50" s="158"/>
      <c r="B50" s="28" t="s">
        <v>197</v>
      </c>
      <c r="C50" s="73">
        <f>'1.4 Kenmerken'!C113*'1.4 Kenmerken'!C93*1000*2</f>
        <v>550000</v>
      </c>
      <c r="D50" s="73"/>
    </row>
    <row r="51" spans="1:4" s="32" customFormat="1" hidden="1" outlineLevel="2">
      <c r="A51" s="158"/>
      <c r="B51" s="28" t="s">
        <v>198</v>
      </c>
      <c r="C51" s="73">
        <f>'1.4 Kenmerken'!C86*2000</f>
        <v>3333.333333333333</v>
      </c>
      <c r="D51" s="73"/>
    </row>
    <row r="52" spans="1:4" s="32" customFormat="1" hidden="1" outlineLevel="2">
      <c r="A52" s="158"/>
      <c r="B52" s="28" t="s">
        <v>199</v>
      </c>
      <c r="C52" s="73">
        <f>ROUND('1.4 Kenmerken'!C96*500,-3)</f>
        <v>7000</v>
      </c>
      <c r="D52" s="73"/>
    </row>
    <row r="53" spans="1:4" collapsed="1">
      <c r="A53" s="158"/>
      <c r="B53" s="158" t="s">
        <v>200</v>
      </c>
      <c r="C53" s="182">
        <f t="shared" ref="C53" si="2">ROUND(C50+C51+C52,-4)</f>
        <v>560000</v>
      </c>
      <c r="D53" s="182"/>
    </row>
    <row r="54" spans="1:4">
      <c r="A54" s="158"/>
      <c r="B54" s="141" t="s">
        <v>165</v>
      </c>
      <c r="C54" s="182">
        <f>ROUND((C53)*'1.4 Kenmerken'!C133,-4)</f>
        <v>80000</v>
      </c>
      <c r="D54" s="182"/>
    </row>
    <row r="55" spans="1:4">
      <c r="A55" s="158"/>
      <c r="B55" s="158" t="s">
        <v>201</v>
      </c>
      <c r="C55" s="182">
        <f>ROUND(SUM(C53:C54,C49)*'1.4 Kenmerken'!C134,-4)</f>
        <v>80000</v>
      </c>
      <c r="D55" s="182"/>
    </row>
    <row r="56" spans="1:4">
      <c r="A56" s="158"/>
      <c r="B56" s="158" t="s">
        <v>202</v>
      </c>
      <c r="C56" s="182">
        <f>ROUND((SUM(C53:C55,C49)*SUM('1.4 Kenmerken'!C135:C139))+(('1.4 Kenmerken'!C96)/0.85*110),-4)</f>
        <v>90000</v>
      </c>
      <c r="D56" s="182"/>
    </row>
    <row r="57" spans="1:4">
      <c r="A57" s="158"/>
      <c r="B57" s="158" t="s">
        <v>203</v>
      </c>
      <c r="C57" s="182">
        <f>ROUND(SUM(C53:C56,C49)*SUM('1.4 Kenmerken'!C140:C141),-4)</f>
        <v>20000</v>
      </c>
      <c r="D57" s="182"/>
    </row>
    <row r="58" spans="1:4" s="7" customFormat="1">
      <c r="A58" s="158"/>
      <c r="B58" s="6" t="s">
        <v>210</v>
      </c>
      <c r="C58" s="74">
        <f t="shared" ref="C58" si="3">ROUND((SUM(C53:C57,C49)),-5)</f>
        <v>1000000</v>
      </c>
      <c r="D58" s="74"/>
    </row>
    <row r="59" spans="1:4" s="7" customFormat="1">
      <c r="A59" s="158"/>
      <c r="B59" s="6"/>
      <c r="C59" s="75">
        <f>C58/('1.4 Kenmerken'!C29*1000)</f>
        <v>400</v>
      </c>
      <c r="D59" s="75"/>
    </row>
    <row r="60" spans="1:4" s="7" customFormat="1">
      <c r="A60" s="158"/>
      <c r="C60" s="75"/>
      <c r="D60" s="75"/>
    </row>
    <row r="61" spans="1:4">
      <c r="A61" s="158"/>
      <c r="B61" s="158" t="s">
        <v>205</v>
      </c>
      <c r="C61" s="183">
        <v>30</v>
      </c>
      <c r="D61" s="183"/>
    </row>
    <row r="62" spans="1:4" s="7" customFormat="1">
      <c r="A62" s="158"/>
      <c r="B62" s="158" t="s">
        <v>206</v>
      </c>
      <c r="C62" s="186">
        <f t="shared" ref="C62" si="4">(C58-C57)/C61</f>
        <v>32666.666666666668</v>
      </c>
      <c r="D62" s="187"/>
    </row>
    <row r="63" spans="1:4">
      <c r="A63" s="158"/>
      <c r="B63" s="140"/>
      <c r="C63" s="167"/>
      <c r="D63" s="167"/>
    </row>
    <row r="64" spans="1:4">
      <c r="A64" s="158"/>
      <c r="B64" s="163" t="s">
        <v>89</v>
      </c>
      <c r="C64" s="164"/>
      <c r="D64" s="141"/>
    </row>
    <row r="65" spans="1:4">
      <c r="A65" s="158"/>
      <c r="B65" s="158" t="s">
        <v>211</v>
      </c>
      <c r="C65" s="182">
        <f>ROUND('1.4 Kenmerken'!C29*1000*'1.4 Kenmerken'!C118,-4)</f>
        <v>1250000</v>
      </c>
      <c r="D65" s="182"/>
    </row>
    <row r="66" spans="1:4">
      <c r="A66" s="158"/>
      <c r="B66" s="158" t="s">
        <v>212</v>
      </c>
      <c r="C66" s="182">
        <f>C65*0.3</f>
        <v>375000</v>
      </c>
      <c r="D66" s="140"/>
    </row>
    <row r="67" spans="1:4">
      <c r="A67" s="158"/>
      <c r="B67" s="158" t="s">
        <v>213</v>
      </c>
      <c r="C67" s="182">
        <f>'1.4 Kenmerken'!C45*'1.4 Kenmerken'!C121</f>
        <v>300666.66666666663</v>
      </c>
      <c r="D67" s="182"/>
    </row>
    <row r="68" spans="1:4">
      <c r="A68" s="158"/>
      <c r="B68" s="158" t="s">
        <v>214</v>
      </c>
      <c r="C68" s="182">
        <f>ROUND(('1.4 Kenmerken'!C48/0.85)*'1.4 Kenmerken'!C122,-4)</f>
        <v>110000</v>
      </c>
      <c r="D68" s="182"/>
    </row>
    <row r="69" spans="1:4">
      <c r="A69" s="158"/>
      <c r="B69" s="158" t="s">
        <v>215</v>
      </c>
      <c r="C69" s="182">
        <f>'1.4 Kenmerken'!C45*'1.4 Kenmerken'!C123</f>
        <v>191333.33333333331</v>
      </c>
      <c r="D69" s="182"/>
    </row>
    <row r="70" spans="1:4">
      <c r="A70" s="158"/>
      <c r="B70" s="158" t="s">
        <v>216</v>
      </c>
      <c r="C70" s="182">
        <f>ROUND((C65+C66+C67+C68+C69),-5)</f>
        <v>2200000</v>
      </c>
      <c r="D70" s="182"/>
    </row>
    <row r="71" spans="1:4">
      <c r="A71" s="158"/>
      <c r="B71" s="158"/>
      <c r="C71" s="182"/>
      <c r="D71" s="182"/>
    </row>
    <row r="72" spans="1:4">
      <c r="A72" s="158"/>
      <c r="B72" s="141" t="s">
        <v>165</v>
      </c>
      <c r="C72" s="182">
        <f>ROUND((C70)*'1.4 Kenmerken'!C133,-4)</f>
        <v>330000</v>
      </c>
      <c r="D72" s="182"/>
    </row>
    <row r="73" spans="1:4">
      <c r="A73" s="158"/>
      <c r="B73" s="158" t="s">
        <v>201</v>
      </c>
      <c r="C73" s="182">
        <f>ROUND((C70+C72)*'1.4 Kenmerken'!C134,-4)</f>
        <v>250000</v>
      </c>
      <c r="D73" s="182"/>
    </row>
    <row r="74" spans="1:4">
      <c r="A74" s="158"/>
      <c r="B74" s="158" t="s">
        <v>202</v>
      </c>
      <c r="C74" s="182">
        <f>ROUND((C70+C72+C73)*SUM('1.4 Kenmerken'!C135:C139),-4)</f>
        <v>280000</v>
      </c>
      <c r="D74" s="182"/>
    </row>
    <row r="75" spans="1:4">
      <c r="A75" s="158"/>
      <c r="B75" s="158" t="s">
        <v>203</v>
      </c>
      <c r="C75" s="182">
        <f>ROUND(SUM(C70:C74)*SUM('1.4 Kenmerken'!C140:C141),-4)</f>
        <v>70000</v>
      </c>
      <c r="D75" s="182"/>
    </row>
    <row r="76" spans="1:4" s="7" customFormat="1">
      <c r="A76" s="158"/>
      <c r="B76" s="6" t="s">
        <v>217</v>
      </c>
      <c r="C76" s="74">
        <f>ROUND((SUM(C70:C75)),-5)</f>
        <v>3100000</v>
      </c>
      <c r="D76" s="74"/>
    </row>
    <row r="77" spans="1:4" s="7" customFormat="1">
      <c r="A77" s="158"/>
      <c r="B77" s="6"/>
      <c r="C77" s="75">
        <f>C76/('1.4 Kenmerken'!C29*1000)</f>
        <v>1240</v>
      </c>
      <c r="D77" s="75"/>
    </row>
    <row r="78" spans="1:4" s="7" customFormat="1">
      <c r="A78" s="158"/>
      <c r="B78" s="6"/>
      <c r="C78" s="75"/>
      <c r="D78" s="75"/>
    </row>
    <row r="79" spans="1:4">
      <c r="A79" s="158"/>
      <c r="B79" s="158" t="str">
        <f>B43</f>
        <v xml:space="preserve">Afschrijvingstermijn </v>
      </c>
      <c r="C79" s="183">
        <v>30</v>
      </c>
      <c r="D79" s="183"/>
    </row>
    <row r="80" spans="1:4">
      <c r="A80" s="158"/>
      <c r="B80" s="158" t="s">
        <v>218</v>
      </c>
      <c r="C80" s="188">
        <v>0.7</v>
      </c>
      <c r="D80" s="189"/>
    </row>
    <row r="81" spans="1:25" s="7" customFormat="1">
      <c r="A81" s="158"/>
      <c r="B81" s="158" t="s">
        <v>206</v>
      </c>
      <c r="C81" s="184">
        <f>((C76-C75)/C79+((C76-C75)*55.8%*C80)/C79)/2</f>
        <v>70225.299999999988</v>
      </c>
      <c r="D81" s="185"/>
    </row>
    <row r="82" spans="1:25">
      <c r="A82" s="158"/>
      <c r="B82" s="140"/>
      <c r="C82" s="141"/>
      <c r="D82" s="141"/>
      <c r="E82" s="140"/>
      <c r="F82" s="140"/>
      <c r="G82" s="140"/>
      <c r="H82" s="140"/>
      <c r="I82" s="140"/>
      <c r="J82" s="140"/>
      <c r="K82" s="140"/>
      <c r="L82" s="140"/>
      <c r="M82" s="140"/>
      <c r="N82" s="140"/>
      <c r="O82" s="140"/>
      <c r="P82" s="140"/>
      <c r="Q82" s="140"/>
      <c r="R82" s="140"/>
      <c r="S82" s="140"/>
      <c r="T82" s="140"/>
      <c r="U82" s="140"/>
      <c r="V82" s="140"/>
      <c r="W82" s="140"/>
      <c r="X82" s="140"/>
      <c r="Y82" s="140"/>
    </row>
    <row r="83" spans="1:25">
      <c r="A83" s="158"/>
      <c r="B83" s="163" t="s">
        <v>96</v>
      </c>
      <c r="C83" s="164"/>
      <c r="D83" s="141"/>
      <c r="E83" s="140"/>
      <c r="F83" s="140"/>
      <c r="G83" s="140"/>
      <c r="H83" s="140"/>
      <c r="I83" s="140"/>
      <c r="J83" s="140"/>
      <c r="K83" s="140"/>
      <c r="L83" s="140"/>
      <c r="M83" s="140"/>
      <c r="N83" s="140"/>
      <c r="O83" s="140"/>
      <c r="P83" s="140"/>
      <c r="Q83" s="140"/>
      <c r="R83" s="140"/>
      <c r="S83" s="140"/>
      <c r="T83" s="140"/>
      <c r="U83" s="140"/>
      <c r="V83" s="140"/>
      <c r="W83" s="140"/>
      <c r="X83" s="140"/>
      <c r="Y83" s="140"/>
    </row>
    <row r="84" spans="1:25">
      <c r="A84" s="158"/>
      <c r="B84" s="158" t="s">
        <v>219</v>
      </c>
      <c r="C84" s="182">
        <f>ROUND('1.4 Kenmerken'!C55*'1.4 Kenmerken'!C116,-4)</f>
        <v>480000</v>
      </c>
      <c r="D84" s="182"/>
      <c r="E84" s="140"/>
      <c r="F84" s="140"/>
      <c r="G84" s="140"/>
      <c r="H84" s="140"/>
      <c r="I84" s="140"/>
      <c r="J84" s="140"/>
      <c r="K84" s="140"/>
      <c r="L84" s="140"/>
      <c r="M84" s="140"/>
      <c r="N84" s="140"/>
      <c r="O84" s="140"/>
      <c r="P84" s="140"/>
      <c r="Q84" s="140"/>
      <c r="R84" s="140"/>
      <c r="S84" s="140"/>
      <c r="T84" s="140"/>
      <c r="U84" s="140"/>
      <c r="V84" s="140"/>
      <c r="W84" s="140"/>
      <c r="X84" s="140"/>
      <c r="Y84" s="140"/>
    </row>
    <row r="85" spans="1:25">
      <c r="A85" s="158"/>
      <c r="B85" s="158"/>
      <c r="C85" s="182"/>
      <c r="D85" s="182"/>
      <c r="E85" s="140"/>
      <c r="F85" s="140"/>
      <c r="G85" s="140"/>
      <c r="H85" s="140"/>
      <c r="I85" s="140"/>
      <c r="J85" s="140"/>
      <c r="K85" s="140"/>
      <c r="L85" s="140"/>
      <c r="M85" s="140"/>
      <c r="N85" s="140"/>
      <c r="O85" s="140"/>
      <c r="P85" s="140"/>
      <c r="Q85" s="140"/>
      <c r="R85" s="140"/>
      <c r="S85" s="140"/>
      <c r="T85" s="140"/>
      <c r="U85" s="140"/>
      <c r="V85" s="140"/>
      <c r="W85" s="140"/>
      <c r="X85" s="140"/>
      <c r="Y85" s="140"/>
    </row>
    <row r="86" spans="1:25">
      <c r="A86" s="158"/>
      <c r="B86" s="141" t="s">
        <v>165</v>
      </c>
      <c r="C86" s="182">
        <f>ROUND((C84)*'1.4 Kenmerken'!C133,-4)</f>
        <v>70000</v>
      </c>
      <c r="D86" s="182"/>
      <c r="E86" s="140"/>
      <c r="F86" s="140"/>
      <c r="G86" s="140"/>
      <c r="H86" s="140"/>
      <c r="I86" s="140"/>
      <c r="J86" s="140"/>
      <c r="K86" s="140"/>
      <c r="L86" s="140"/>
      <c r="M86" s="140"/>
      <c r="N86" s="140"/>
      <c r="O86" s="140"/>
      <c r="P86" s="140"/>
      <c r="Q86" s="140"/>
      <c r="R86" s="140"/>
      <c r="S86" s="140"/>
      <c r="T86" s="140"/>
      <c r="U86" s="140"/>
      <c r="V86" s="140"/>
      <c r="W86" s="140"/>
      <c r="X86" s="140"/>
      <c r="Y86" s="140"/>
    </row>
    <row r="87" spans="1:25">
      <c r="A87" s="158"/>
      <c r="B87" s="158" t="s">
        <v>201</v>
      </c>
      <c r="C87" s="182">
        <f>ROUND((C84+C86)*'1.4 Kenmerken'!C134,-4)</f>
        <v>60000</v>
      </c>
      <c r="D87" s="182"/>
      <c r="E87" s="140"/>
      <c r="F87" s="140"/>
      <c r="G87" s="140"/>
      <c r="H87" s="140"/>
      <c r="I87" s="140"/>
      <c r="J87" s="140"/>
      <c r="K87" s="140"/>
      <c r="L87" s="140"/>
      <c r="M87" s="140"/>
      <c r="N87" s="140"/>
      <c r="O87" s="140"/>
      <c r="P87" s="140"/>
      <c r="Q87" s="140"/>
      <c r="R87" s="140"/>
      <c r="S87" s="140"/>
      <c r="T87" s="140"/>
      <c r="U87" s="140"/>
      <c r="V87" s="140"/>
      <c r="W87" s="140"/>
      <c r="X87" s="140"/>
      <c r="Y87" s="140"/>
    </row>
    <row r="88" spans="1:25">
      <c r="A88" s="158"/>
      <c r="B88" s="158" t="s">
        <v>202</v>
      </c>
      <c r="C88" s="182">
        <f>ROUND((C84+C86+C87)*SUM('1.4 Kenmerken'!C135:C139),-4)</f>
        <v>60000</v>
      </c>
      <c r="D88" s="182"/>
      <c r="E88" s="140"/>
      <c r="F88" s="140"/>
      <c r="G88" s="140"/>
      <c r="H88" s="140"/>
      <c r="I88" s="140"/>
      <c r="J88" s="140"/>
      <c r="K88" s="140"/>
      <c r="L88" s="140"/>
      <c r="M88" s="140"/>
      <c r="N88" s="140"/>
      <c r="O88" s="140"/>
      <c r="P88" s="140"/>
      <c r="Q88" s="140"/>
      <c r="R88" s="140"/>
      <c r="S88" s="140"/>
      <c r="T88" s="140"/>
      <c r="U88" s="140"/>
      <c r="V88" s="140"/>
      <c r="W88" s="140"/>
      <c r="X88" s="140"/>
      <c r="Y88" s="140"/>
    </row>
    <row r="89" spans="1:25">
      <c r="A89" s="158"/>
      <c r="B89" s="158" t="s">
        <v>203</v>
      </c>
      <c r="C89" s="182">
        <f>ROUND(SUM(C84:C88)*SUM('1.4 Kenmerken'!C140:C141),-4)</f>
        <v>10000</v>
      </c>
      <c r="D89" s="182"/>
      <c r="E89" s="140"/>
      <c r="F89" s="140"/>
      <c r="G89" s="140"/>
      <c r="H89" s="140"/>
      <c r="I89" s="140"/>
      <c r="J89" s="140"/>
      <c r="K89" s="140"/>
      <c r="L89" s="140"/>
      <c r="M89" s="140"/>
      <c r="N89" s="140"/>
      <c r="O89" s="140"/>
      <c r="P89" s="140"/>
      <c r="Q89" s="140"/>
      <c r="R89" s="140"/>
      <c r="S89" s="140"/>
      <c r="T89" s="140"/>
      <c r="U89" s="140"/>
      <c r="V89" s="140"/>
      <c r="W89" s="140"/>
      <c r="X89" s="140"/>
      <c r="Y89" s="140"/>
    </row>
    <row r="90" spans="1:25" s="7" customFormat="1">
      <c r="A90" s="158"/>
      <c r="B90" s="6" t="s">
        <v>220</v>
      </c>
      <c r="C90" s="74">
        <f t="shared" ref="C90" si="5">ROUND((SUM(C84:C89)),-4)</f>
        <v>680000</v>
      </c>
      <c r="D90" s="74"/>
    </row>
    <row r="91" spans="1:25" s="7" customFormat="1">
      <c r="A91" s="158"/>
      <c r="B91" s="6"/>
      <c r="C91" s="75">
        <f>C90/('1.4 Kenmerken'!C8*1000)</f>
        <v>136</v>
      </c>
      <c r="D91" s="75"/>
    </row>
    <row r="92" spans="1:25" s="7" customFormat="1">
      <c r="A92" s="158"/>
      <c r="B92" s="6"/>
      <c r="C92" s="75"/>
      <c r="D92" s="75"/>
    </row>
    <row r="93" spans="1:25">
      <c r="A93" s="158"/>
      <c r="B93" s="158" t="str">
        <f>B57</f>
        <v>financiering</v>
      </c>
      <c r="C93" s="183">
        <v>30</v>
      </c>
      <c r="D93" s="183"/>
      <c r="E93" s="140"/>
      <c r="F93" s="140"/>
      <c r="G93" s="140"/>
      <c r="H93" s="140"/>
      <c r="I93" s="140"/>
      <c r="J93" s="140"/>
      <c r="K93" s="140"/>
      <c r="L93" s="140"/>
      <c r="M93" s="140"/>
      <c r="N93" s="140"/>
      <c r="O93" s="140"/>
      <c r="P93" s="140"/>
      <c r="Q93" s="140"/>
      <c r="R93" s="140"/>
      <c r="S93" s="140"/>
      <c r="T93" s="140"/>
      <c r="U93" s="140"/>
      <c r="V93" s="140"/>
      <c r="W93" s="140"/>
      <c r="X93" s="140"/>
      <c r="Y93" s="140"/>
    </row>
    <row r="94" spans="1:25">
      <c r="A94" s="158"/>
      <c r="B94" s="158" t="s">
        <v>218</v>
      </c>
      <c r="C94" s="188">
        <v>0.25</v>
      </c>
      <c r="D94" s="189"/>
      <c r="E94" s="140"/>
      <c r="F94" s="140"/>
      <c r="G94" s="140"/>
      <c r="H94" s="140"/>
      <c r="I94" s="140"/>
      <c r="J94" s="140"/>
      <c r="K94" s="140"/>
      <c r="L94" s="140"/>
      <c r="M94" s="140"/>
      <c r="N94" s="140"/>
      <c r="O94" s="140"/>
      <c r="P94" s="140"/>
      <c r="Q94" s="140"/>
      <c r="R94" s="140"/>
      <c r="S94" s="140"/>
      <c r="T94" s="140"/>
      <c r="U94" s="140"/>
      <c r="V94" s="140"/>
      <c r="W94" s="140"/>
      <c r="X94" s="140"/>
      <c r="Y94" s="140"/>
    </row>
    <row r="95" spans="1:25" s="7" customFormat="1">
      <c r="A95" s="158"/>
      <c r="B95" s="158" t="s">
        <v>206</v>
      </c>
      <c r="C95" s="184">
        <f>((C90-C89)/C93+((C90-C89)*55.8%*C94)/C93)/2</f>
        <v>12724.416666666666</v>
      </c>
      <c r="D95" s="185"/>
    </row>
    <row r="96" spans="1:25">
      <c r="A96" s="158"/>
      <c r="B96" s="158"/>
      <c r="C96" s="182"/>
      <c r="D96" s="182"/>
      <c r="E96" s="140"/>
      <c r="F96" s="140"/>
      <c r="G96" s="140"/>
      <c r="H96" s="140"/>
      <c r="I96" s="140"/>
      <c r="J96" s="140"/>
      <c r="K96" s="140"/>
      <c r="L96" s="140"/>
      <c r="M96" s="140"/>
      <c r="N96" s="140"/>
      <c r="O96" s="140"/>
      <c r="P96" s="140"/>
      <c r="Q96" s="140"/>
      <c r="R96" s="140"/>
      <c r="S96" s="140"/>
      <c r="T96" s="140"/>
      <c r="U96" s="140"/>
      <c r="V96" s="140"/>
      <c r="W96" s="140"/>
      <c r="X96" s="140"/>
      <c r="Y96" s="140"/>
    </row>
    <row r="97" spans="1:25">
      <c r="A97" s="158"/>
      <c r="B97" s="163" t="s">
        <v>104</v>
      </c>
      <c r="C97" s="164"/>
      <c r="D97" s="141"/>
      <c r="E97" s="140"/>
      <c r="F97" s="140"/>
      <c r="G97" s="140"/>
      <c r="H97" s="140"/>
      <c r="I97" s="140"/>
      <c r="J97" s="140"/>
      <c r="K97" s="140"/>
      <c r="L97" s="140"/>
      <c r="M97" s="140"/>
      <c r="N97" s="140"/>
      <c r="O97" s="140"/>
      <c r="P97" s="140"/>
      <c r="Q97" s="140"/>
      <c r="R97" s="140"/>
      <c r="S97" s="140"/>
      <c r="T97" s="140"/>
      <c r="U97" s="140"/>
      <c r="V97" s="140"/>
      <c r="W97" s="140"/>
      <c r="X97" s="140"/>
      <c r="Y97" s="140"/>
    </row>
    <row r="98" spans="1:25">
      <c r="A98" s="158"/>
      <c r="B98" s="158" t="s">
        <v>221</v>
      </c>
      <c r="C98" s="182">
        <f>ROUND('1.4 Kenmerken'!C119*'1.4 Kenmerken'!C66,-4)</f>
        <v>770000</v>
      </c>
      <c r="D98" s="182"/>
      <c r="E98" s="140"/>
      <c r="F98" s="140"/>
      <c r="G98" s="140"/>
      <c r="H98" s="140"/>
      <c r="I98" s="140"/>
      <c r="J98" s="140"/>
      <c r="K98" s="140"/>
      <c r="L98" s="140"/>
      <c r="M98" s="140"/>
      <c r="N98" s="140"/>
      <c r="O98" s="140"/>
      <c r="P98" s="140"/>
      <c r="Q98" s="140"/>
      <c r="R98" s="140"/>
      <c r="S98" s="140"/>
      <c r="T98" s="140"/>
      <c r="U98" s="140"/>
      <c r="V98" s="140"/>
      <c r="W98" s="140"/>
      <c r="X98" s="140"/>
      <c r="Y98" s="140"/>
    </row>
    <row r="99" spans="1:25">
      <c r="A99" s="158"/>
      <c r="B99" s="158"/>
      <c r="C99" s="182"/>
      <c r="D99" s="182"/>
      <c r="E99" s="140"/>
      <c r="F99" s="140"/>
      <c r="G99" s="140"/>
      <c r="H99" s="140"/>
      <c r="I99" s="140"/>
      <c r="J99" s="140"/>
      <c r="K99" s="140"/>
      <c r="L99" s="140"/>
      <c r="M99" s="140"/>
      <c r="N99" s="140"/>
      <c r="O99" s="140"/>
      <c r="P99" s="140"/>
      <c r="Q99" s="140"/>
      <c r="R99" s="140"/>
      <c r="S99" s="140"/>
      <c r="T99" s="140"/>
      <c r="U99" s="140"/>
      <c r="V99" s="140"/>
      <c r="W99" s="140"/>
      <c r="X99" s="140"/>
      <c r="Y99" s="140"/>
    </row>
    <row r="100" spans="1:25">
      <c r="A100" s="158"/>
      <c r="B100" s="141" t="s">
        <v>165</v>
      </c>
      <c r="C100" s="182">
        <f>ROUND((C98)*'1.4 Kenmerken'!C133,-4)</f>
        <v>120000</v>
      </c>
      <c r="D100" s="182"/>
      <c r="E100" s="140"/>
      <c r="F100" s="140"/>
      <c r="G100" s="140"/>
      <c r="H100" s="140"/>
      <c r="I100" s="140"/>
      <c r="J100" s="140"/>
      <c r="K100" s="140"/>
      <c r="L100" s="140"/>
      <c r="M100" s="140"/>
      <c r="N100" s="140"/>
      <c r="O100" s="140"/>
      <c r="P100" s="140"/>
      <c r="Q100" s="140"/>
      <c r="R100" s="140"/>
      <c r="S100" s="140"/>
      <c r="T100" s="140"/>
      <c r="U100" s="140"/>
      <c r="V100" s="140"/>
      <c r="W100" s="140"/>
      <c r="X100" s="140"/>
      <c r="Y100" s="140"/>
    </row>
    <row r="101" spans="1:25">
      <c r="A101" s="158"/>
      <c r="B101" s="158" t="s">
        <v>201</v>
      </c>
      <c r="C101" s="182">
        <f>ROUND((C98+C100)*'1.4 Kenmerken'!C134,-4)</f>
        <v>90000</v>
      </c>
      <c r="D101" s="182"/>
      <c r="E101" s="140"/>
      <c r="F101" s="140"/>
      <c r="G101" s="140"/>
      <c r="H101" s="140"/>
      <c r="I101" s="140"/>
      <c r="J101" s="140"/>
      <c r="K101" s="140"/>
      <c r="L101" s="140"/>
      <c r="M101" s="140"/>
      <c r="N101" s="140"/>
      <c r="O101" s="140"/>
      <c r="P101" s="140"/>
      <c r="Q101" s="140"/>
      <c r="R101" s="140"/>
      <c r="S101" s="140"/>
      <c r="T101" s="140"/>
      <c r="U101" s="140"/>
      <c r="V101" s="140"/>
      <c r="W101" s="140"/>
      <c r="X101" s="140"/>
      <c r="Y101" s="140"/>
    </row>
    <row r="102" spans="1:25">
      <c r="A102" s="158"/>
      <c r="B102" s="158" t="s">
        <v>202</v>
      </c>
      <c r="C102" s="182">
        <f>ROUND((C98+C100+C101)*SUM('1.4 Kenmerken'!C135:C139),-4)</f>
        <v>100000</v>
      </c>
      <c r="D102" s="182"/>
      <c r="E102" s="140"/>
      <c r="F102" s="140"/>
      <c r="G102" s="140"/>
      <c r="H102" s="140"/>
      <c r="I102" s="140"/>
      <c r="J102" s="140"/>
      <c r="K102" s="140"/>
      <c r="L102" s="140"/>
      <c r="M102" s="140"/>
      <c r="N102" s="140"/>
      <c r="O102" s="140"/>
      <c r="P102" s="140"/>
      <c r="Q102" s="140"/>
      <c r="R102" s="140"/>
      <c r="S102" s="140"/>
      <c r="T102" s="140"/>
      <c r="U102" s="140"/>
      <c r="V102" s="140"/>
      <c r="W102" s="140"/>
      <c r="X102" s="140"/>
      <c r="Y102" s="140"/>
    </row>
    <row r="103" spans="1:25">
      <c r="A103" s="158"/>
      <c r="B103" s="158" t="s">
        <v>203</v>
      </c>
      <c r="C103" s="182">
        <f>ROUND(SUM(C98:C102)*SUM('1.4 Kenmerken'!C140:C141),-4)</f>
        <v>20000</v>
      </c>
      <c r="D103" s="182"/>
      <c r="E103" s="140"/>
      <c r="F103" s="140"/>
      <c r="G103" s="140"/>
      <c r="H103" s="140"/>
      <c r="I103" s="140"/>
      <c r="J103" s="140"/>
      <c r="K103" s="140"/>
      <c r="L103" s="140"/>
      <c r="M103" s="140"/>
      <c r="N103" s="140"/>
      <c r="O103" s="140"/>
      <c r="P103" s="140"/>
      <c r="Q103" s="140"/>
      <c r="R103" s="140"/>
      <c r="S103" s="140"/>
      <c r="T103" s="140"/>
      <c r="U103" s="140"/>
      <c r="V103" s="140"/>
      <c r="W103" s="140"/>
      <c r="X103" s="140"/>
      <c r="Y103" s="140"/>
    </row>
    <row r="104" spans="1:25" s="7" customFormat="1">
      <c r="A104" s="158"/>
      <c r="B104" s="6" t="s">
        <v>222</v>
      </c>
      <c r="C104" s="74">
        <f t="shared" ref="C104" si="6">ROUND((SUM(C98:C103)),-5)</f>
        <v>1100000</v>
      </c>
      <c r="D104" s="74"/>
    </row>
    <row r="105" spans="1:25" s="7" customFormat="1">
      <c r="A105" s="158"/>
      <c r="B105" s="6"/>
      <c r="C105" s="75">
        <f>C104/('1.4 Kenmerken'!C8*1000)</f>
        <v>220</v>
      </c>
      <c r="D105" s="75"/>
    </row>
    <row r="106" spans="1:25" s="7" customFormat="1">
      <c r="A106" s="158"/>
      <c r="B106" s="6"/>
      <c r="C106" s="75"/>
      <c r="D106" s="75"/>
    </row>
    <row r="107" spans="1:25">
      <c r="A107" s="158"/>
      <c r="B107" s="158" t="str">
        <f>B43</f>
        <v xml:space="preserve">Afschrijvingstermijn </v>
      </c>
      <c r="C107" s="183">
        <v>30</v>
      </c>
      <c r="D107" s="183"/>
      <c r="E107" s="140"/>
      <c r="F107" s="140"/>
      <c r="G107" s="140"/>
      <c r="H107" s="140"/>
      <c r="I107" s="140"/>
      <c r="J107" s="140"/>
      <c r="K107" s="140"/>
      <c r="L107" s="140"/>
      <c r="M107" s="140"/>
      <c r="N107" s="140"/>
      <c r="O107" s="140"/>
      <c r="P107" s="140"/>
      <c r="Q107" s="140"/>
      <c r="R107" s="140"/>
      <c r="S107" s="140"/>
      <c r="T107" s="140"/>
      <c r="U107" s="140"/>
      <c r="V107" s="140"/>
      <c r="W107" s="140"/>
      <c r="X107" s="140"/>
      <c r="Y107" s="140"/>
    </row>
    <row r="108" spans="1:25">
      <c r="A108" s="158"/>
      <c r="B108" s="158" t="s">
        <v>206</v>
      </c>
      <c r="C108" s="190">
        <f>(C104-C103)/C107</f>
        <v>36000</v>
      </c>
      <c r="D108" s="191"/>
      <c r="E108" s="140"/>
      <c r="F108" s="140"/>
      <c r="G108" s="140"/>
      <c r="H108" s="140"/>
      <c r="I108" s="140"/>
      <c r="J108" s="140"/>
      <c r="K108" s="140"/>
      <c r="L108" s="140"/>
      <c r="M108" s="140"/>
      <c r="N108" s="140"/>
      <c r="O108" s="140"/>
      <c r="P108" s="140"/>
      <c r="Q108" s="140"/>
      <c r="R108" s="140"/>
      <c r="S108" s="140"/>
      <c r="T108" s="140"/>
      <c r="U108" s="140"/>
      <c r="V108" s="140"/>
      <c r="W108" s="140"/>
      <c r="X108" s="140"/>
      <c r="Y108" s="140"/>
    </row>
    <row r="109" spans="1:25">
      <c r="A109" s="158"/>
      <c r="B109" s="158"/>
      <c r="C109" s="141"/>
      <c r="D109" s="141"/>
      <c r="E109" s="140"/>
      <c r="F109" s="140"/>
      <c r="G109" s="140"/>
      <c r="H109" s="140"/>
      <c r="I109" s="140"/>
      <c r="J109" s="140"/>
      <c r="K109" s="140"/>
      <c r="L109" s="140"/>
      <c r="M109" s="140"/>
      <c r="N109" s="140"/>
      <c r="O109" s="140"/>
      <c r="P109" s="140"/>
      <c r="Q109" s="140"/>
      <c r="R109" s="140"/>
      <c r="S109" s="140"/>
      <c r="T109" s="140"/>
      <c r="U109" s="140"/>
      <c r="V109" s="140"/>
      <c r="W109" s="140"/>
      <c r="X109" s="140"/>
      <c r="Y109" s="140"/>
    </row>
    <row r="110" spans="1:25">
      <c r="A110" s="158"/>
      <c r="B110" s="163" t="s">
        <v>223</v>
      </c>
      <c r="C110" s="164"/>
      <c r="D110" s="141"/>
      <c r="E110" s="140"/>
      <c r="F110" s="140"/>
      <c r="G110" s="140"/>
      <c r="H110" s="140"/>
      <c r="I110" s="140"/>
      <c r="J110" s="140"/>
      <c r="K110" s="140"/>
      <c r="L110" s="140"/>
      <c r="M110" s="140"/>
      <c r="N110" s="140"/>
      <c r="O110" s="140"/>
      <c r="P110" s="140"/>
      <c r="Q110" s="140"/>
      <c r="R110" s="140"/>
      <c r="S110" s="140"/>
      <c r="T110" s="140"/>
      <c r="U110" s="140"/>
      <c r="V110" s="140"/>
      <c r="W110" s="140"/>
      <c r="X110" s="140"/>
      <c r="Y110" s="140"/>
    </row>
    <row r="111" spans="1:25">
      <c r="A111" s="158"/>
      <c r="B111" s="158" t="s">
        <v>224</v>
      </c>
      <c r="C111" s="192">
        <f>'1.4 Kenmerken'!C120*'1.4 Kenmerken'!C100*1000</f>
        <v>125000</v>
      </c>
      <c r="D111" s="192"/>
      <c r="E111" s="140"/>
      <c r="F111" s="140"/>
      <c r="G111" s="140"/>
      <c r="H111" s="140"/>
      <c r="I111" s="140"/>
      <c r="J111" s="140"/>
      <c r="K111" s="140"/>
      <c r="L111" s="140"/>
      <c r="M111" s="140"/>
      <c r="N111" s="140"/>
      <c r="O111" s="140"/>
      <c r="P111" s="140"/>
      <c r="Q111" s="140"/>
      <c r="R111" s="140"/>
      <c r="S111" s="140"/>
      <c r="T111" s="140"/>
      <c r="U111" s="140"/>
      <c r="V111" s="140"/>
      <c r="W111" s="140"/>
      <c r="X111" s="140"/>
      <c r="Y111" s="140"/>
    </row>
    <row r="112" spans="1:25">
      <c r="A112" s="158"/>
      <c r="B112" s="158" t="s">
        <v>213</v>
      </c>
      <c r="C112" s="192">
        <f>'1.4 Kenmerken'!C103*'1.4 Kenmerken'!C121</f>
        <v>150333.33333333334</v>
      </c>
      <c r="D112" s="192"/>
      <c r="E112" s="140"/>
      <c r="F112" s="140"/>
      <c r="G112" s="140"/>
      <c r="H112" s="140"/>
      <c r="I112" s="140"/>
      <c r="J112" s="140"/>
      <c r="K112" s="140"/>
      <c r="L112" s="140"/>
      <c r="M112" s="140"/>
      <c r="N112" s="140"/>
      <c r="O112" s="140"/>
      <c r="P112" s="140"/>
      <c r="Q112" s="140"/>
      <c r="R112" s="140"/>
      <c r="S112" s="140"/>
      <c r="T112" s="140"/>
      <c r="U112" s="140"/>
      <c r="V112" s="140"/>
      <c r="W112" s="140"/>
      <c r="X112" s="140"/>
      <c r="Y112" s="140"/>
    </row>
    <row r="113" spans="1:25">
      <c r="A113" s="158"/>
      <c r="B113" s="158" t="s">
        <v>214</v>
      </c>
      <c r="C113" s="192">
        <f>ROUND((('1.4 Kenmerken'!C100/0.85)*'1.4 Kenmerken'!C122*1000),-4)</f>
        <v>320000</v>
      </c>
      <c r="D113" s="192"/>
      <c r="E113" s="140"/>
      <c r="F113" s="140"/>
      <c r="G113" s="140"/>
      <c r="H113" s="140"/>
      <c r="I113" s="140"/>
      <c r="J113" s="140"/>
      <c r="K113" s="140"/>
      <c r="L113" s="140"/>
      <c r="M113" s="140"/>
      <c r="N113" s="140"/>
      <c r="O113" s="140"/>
      <c r="P113" s="140"/>
      <c r="Q113" s="140"/>
      <c r="R113" s="140"/>
      <c r="S113" s="140"/>
      <c r="T113" s="140"/>
      <c r="U113" s="140"/>
      <c r="V113" s="140"/>
      <c r="W113" s="140"/>
      <c r="X113" s="140"/>
      <c r="Y113" s="140"/>
    </row>
    <row r="114" spans="1:25">
      <c r="A114" s="158"/>
      <c r="B114" s="158" t="s">
        <v>215</v>
      </c>
      <c r="C114" s="192">
        <f>'1.4 Kenmerken'!C103*'1.4 Kenmerken'!C123</f>
        <v>95666.666666666686</v>
      </c>
      <c r="D114" s="192"/>
      <c r="E114" s="140"/>
      <c r="F114" s="140"/>
      <c r="G114" s="140"/>
      <c r="H114" s="140"/>
      <c r="I114" s="140"/>
      <c r="J114" s="140"/>
      <c r="K114" s="140"/>
      <c r="L114" s="140"/>
      <c r="M114" s="140"/>
      <c r="N114" s="140"/>
      <c r="O114" s="140"/>
      <c r="P114" s="140"/>
      <c r="Q114" s="140"/>
      <c r="R114" s="140"/>
      <c r="S114" s="140"/>
      <c r="T114" s="140"/>
      <c r="U114" s="140"/>
      <c r="V114" s="140"/>
      <c r="W114" s="140"/>
      <c r="X114" s="140"/>
      <c r="Y114" s="140"/>
    </row>
    <row r="115" spans="1:25">
      <c r="A115" s="158"/>
      <c r="B115" s="158" t="s">
        <v>216</v>
      </c>
      <c r="C115" s="192">
        <f>SUM(C111:C114)</f>
        <v>691000</v>
      </c>
      <c r="D115" s="192"/>
      <c r="E115" s="140"/>
      <c r="F115" s="140"/>
      <c r="G115" s="140"/>
      <c r="H115" s="140"/>
      <c r="I115" s="140"/>
      <c r="J115" s="140"/>
      <c r="K115" s="140"/>
      <c r="L115" s="140"/>
      <c r="M115" s="140"/>
      <c r="N115" s="140"/>
      <c r="O115" s="140"/>
      <c r="P115" s="140"/>
      <c r="Q115" s="140"/>
      <c r="R115" s="140"/>
      <c r="S115" s="140"/>
      <c r="T115" s="140"/>
      <c r="U115" s="140"/>
      <c r="V115" s="140"/>
      <c r="W115" s="140"/>
      <c r="X115" s="140"/>
      <c r="Y115" s="140"/>
    </row>
    <row r="116" spans="1:25">
      <c r="A116" s="158"/>
      <c r="B116" s="158"/>
      <c r="C116" s="173"/>
      <c r="D116" s="173"/>
      <c r="E116" s="140"/>
      <c r="F116" s="140"/>
      <c r="G116" s="140"/>
      <c r="H116" s="140"/>
      <c r="I116" s="140"/>
      <c r="J116" s="140"/>
      <c r="K116" s="140"/>
      <c r="L116" s="140"/>
      <c r="M116" s="140"/>
      <c r="N116" s="140"/>
      <c r="O116" s="140"/>
      <c r="P116" s="140"/>
      <c r="Q116" s="140"/>
      <c r="R116" s="140"/>
      <c r="S116" s="140"/>
      <c r="T116" s="140"/>
      <c r="U116" s="140"/>
      <c r="V116" s="140"/>
      <c r="W116" s="140"/>
      <c r="X116" s="140"/>
      <c r="Y116" s="140"/>
    </row>
    <row r="117" spans="1:25">
      <c r="A117" s="158"/>
      <c r="B117" s="141" t="s">
        <v>165</v>
      </c>
      <c r="C117" s="192">
        <f>ROUND((C115)*'1.4 Kenmerken'!C133,-4)</f>
        <v>100000</v>
      </c>
      <c r="D117" s="192"/>
      <c r="E117" s="140"/>
      <c r="F117" s="140"/>
      <c r="G117" s="140"/>
      <c r="H117" s="140"/>
      <c r="I117" s="140"/>
      <c r="J117" s="140"/>
      <c r="K117" s="140"/>
      <c r="L117" s="140"/>
      <c r="M117" s="140"/>
      <c r="N117" s="140"/>
      <c r="O117" s="140"/>
      <c r="P117" s="140"/>
      <c r="Q117" s="140"/>
      <c r="R117" s="140"/>
      <c r="S117" s="140"/>
      <c r="T117" s="140"/>
      <c r="U117" s="140"/>
      <c r="V117" s="140"/>
      <c r="W117" s="140"/>
      <c r="X117" s="140"/>
      <c r="Y117" s="140"/>
    </row>
    <row r="118" spans="1:25">
      <c r="A118" s="158"/>
      <c r="B118" s="158" t="s">
        <v>201</v>
      </c>
      <c r="C118" s="192">
        <f>ROUND((C115+C117)*'1.4 Kenmerken'!C134,-4)</f>
        <v>80000</v>
      </c>
      <c r="D118" s="192"/>
      <c r="E118" s="140"/>
      <c r="F118" s="140"/>
      <c r="G118" s="140"/>
      <c r="H118" s="140"/>
      <c r="I118" s="140"/>
      <c r="J118" s="140"/>
      <c r="K118" s="140"/>
      <c r="L118" s="140"/>
      <c r="M118" s="140"/>
      <c r="N118" s="140"/>
      <c r="O118" s="140"/>
      <c r="P118" s="140"/>
      <c r="Q118" s="140"/>
      <c r="R118" s="140"/>
      <c r="S118" s="140"/>
      <c r="T118" s="140"/>
      <c r="U118" s="140"/>
      <c r="V118" s="140"/>
      <c r="W118" s="140"/>
      <c r="X118" s="140"/>
      <c r="Y118" s="140"/>
    </row>
    <row r="119" spans="1:25">
      <c r="A119" s="158"/>
      <c r="B119" s="158" t="s">
        <v>202</v>
      </c>
      <c r="C119" s="192">
        <f>ROUND((C115+C117+C118)*SUM('1.4 Kenmerken'!C135:C139),-4)</f>
        <v>90000</v>
      </c>
      <c r="D119" s="192"/>
      <c r="E119" s="140"/>
      <c r="F119" s="140"/>
      <c r="G119" s="140"/>
      <c r="H119" s="140"/>
      <c r="I119" s="140"/>
      <c r="J119" s="140"/>
      <c r="K119" s="140"/>
      <c r="L119" s="140"/>
      <c r="M119" s="140"/>
      <c r="N119" s="140"/>
      <c r="O119" s="140"/>
      <c r="P119" s="140"/>
      <c r="Q119" s="140"/>
      <c r="R119" s="140"/>
      <c r="S119" s="140"/>
      <c r="T119" s="140"/>
      <c r="U119" s="140"/>
      <c r="V119" s="140"/>
      <c r="W119" s="140"/>
      <c r="X119" s="140"/>
      <c r="Y119" s="140"/>
    </row>
    <row r="120" spans="1:25">
      <c r="A120" s="158"/>
      <c r="B120" s="158" t="s">
        <v>203</v>
      </c>
      <c r="C120" s="192">
        <f>ROUND(SUM(C115:C119)*SUM('1.4 Kenmerken'!C140:C141),-4)</f>
        <v>20000</v>
      </c>
      <c r="D120" s="192"/>
      <c r="E120" s="140"/>
      <c r="F120" s="140"/>
      <c r="G120" s="140"/>
      <c r="H120" s="140"/>
      <c r="I120" s="140"/>
      <c r="J120" s="140"/>
      <c r="K120" s="140"/>
      <c r="L120" s="140"/>
      <c r="M120" s="140"/>
      <c r="N120" s="140"/>
      <c r="O120" s="140"/>
      <c r="P120" s="140"/>
      <c r="Q120" s="140"/>
      <c r="R120" s="140"/>
      <c r="S120" s="140"/>
      <c r="T120" s="140"/>
      <c r="U120" s="140"/>
      <c r="V120" s="140"/>
      <c r="W120" s="140"/>
      <c r="X120" s="140"/>
      <c r="Y120" s="140"/>
    </row>
    <row r="121" spans="1:25" s="7" customFormat="1">
      <c r="A121" s="158"/>
      <c r="B121" s="6" t="s">
        <v>225</v>
      </c>
      <c r="C121" s="74">
        <v>0</v>
      </c>
      <c r="D121" s="74"/>
    </row>
    <row r="122" spans="1:25" s="7" customFormat="1">
      <c r="A122" s="158"/>
      <c r="B122" s="6"/>
      <c r="C122" s="75">
        <f>C121/('1.4 Kenmerken'!C8*1000)</f>
        <v>0</v>
      </c>
      <c r="D122" s="75"/>
    </row>
    <row r="123" spans="1:25" s="7" customFormat="1">
      <c r="A123" s="158"/>
      <c r="B123" s="6"/>
      <c r="C123" s="75"/>
      <c r="D123" s="75"/>
    </row>
    <row r="124" spans="1:25" s="7" customFormat="1">
      <c r="A124" s="158"/>
      <c r="B124" s="158" t="s">
        <v>205</v>
      </c>
      <c r="C124" s="183">
        <v>15</v>
      </c>
      <c r="D124" s="183"/>
    </row>
    <row r="125" spans="1:25" s="7" customFormat="1">
      <c r="A125" s="158"/>
      <c r="B125" s="158" t="s">
        <v>218</v>
      </c>
      <c r="C125" s="193">
        <v>0.7</v>
      </c>
      <c r="D125" s="189"/>
    </row>
    <row r="126" spans="1:25" s="7" customFormat="1">
      <c r="A126" s="158"/>
      <c r="B126" s="158" t="s">
        <v>206</v>
      </c>
      <c r="C126" s="194">
        <f>((C121-C120)/C124+(C121*55.8%*C125)/C124)/2</f>
        <v>-666.66666666666663</v>
      </c>
      <c r="D126" s="191"/>
    </row>
    <row r="127" spans="1:25">
      <c r="A127" s="158"/>
      <c r="B127" s="158"/>
      <c r="C127" s="141"/>
      <c r="D127" s="141"/>
      <c r="E127" s="140"/>
      <c r="F127" s="140"/>
      <c r="G127" s="140"/>
      <c r="H127" s="140"/>
      <c r="I127" s="140"/>
      <c r="J127" s="140"/>
      <c r="K127" s="140"/>
      <c r="L127" s="140"/>
      <c r="M127" s="140"/>
      <c r="N127" s="140"/>
      <c r="O127" s="140"/>
      <c r="P127" s="140"/>
      <c r="Q127" s="140"/>
      <c r="R127" s="140"/>
      <c r="S127" s="140"/>
      <c r="T127" s="140"/>
      <c r="U127" s="140"/>
      <c r="V127" s="140"/>
      <c r="W127" s="140"/>
      <c r="X127" s="140"/>
      <c r="Y127" s="140"/>
    </row>
    <row r="128" spans="1:25" s="7" customFormat="1">
      <c r="A128" s="158"/>
      <c r="B128" s="76" t="s">
        <v>226</v>
      </c>
      <c r="C128" s="126"/>
      <c r="D128" s="77"/>
    </row>
    <row r="129" spans="1:25" s="7" customFormat="1">
      <c r="A129" s="158"/>
      <c r="B129" s="6" t="s">
        <v>227</v>
      </c>
      <c r="C129" s="74">
        <f>ROUND((C40+C76+C104+C121+C90+C58),-5)</f>
        <v>6900000</v>
      </c>
      <c r="D129" s="74"/>
    </row>
    <row r="130" spans="1:25" s="7" customFormat="1">
      <c r="A130" s="158"/>
      <c r="B130" s="6"/>
      <c r="C130" s="78">
        <f>ROUND((C129/('1.4 Kenmerken'!C32*1000)),-2)</f>
        <v>100</v>
      </c>
      <c r="D130" s="78"/>
    </row>
    <row r="131" spans="1:25" s="7" customFormat="1">
      <c r="A131" s="158"/>
      <c r="B131" s="6" t="s">
        <v>228</v>
      </c>
      <c r="C131" s="74">
        <f t="shared" ref="C131" si="7">C129-C120-C103-C75-C39-C89</f>
        <v>6760000</v>
      </c>
      <c r="D131" s="74"/>
    </row>
    <row r="132" spans="1:25" s="7" customFormat="1">
      <c r="A132" s="158"/>
      <c r="B132" s="6"/>
      <c r="C132" s="78">
        <f>ROUND((C131/('1.4 Kenmerken'!C32*1000)),-2)</f>
        <v>100</v>
      </c>
      <c r="D132" s="78"/>
    </row>
    <row r="133" spans="1:25" s="7" customFormat="1">
      <c r="A133" s="158"/>
      <c r="B133" s="6"/>
      <c r="C133" s="74"/>
      <c r="D133" s="74"/>
    </row>
    <row r="134" spans="1:25" s="7" customFormat="1">
      <c r="A134" s="158"/>
      <c r="B134" s="158" t="s">
        <v>229</v>
      </c>
      <c r="C134" s="182">
        <f t="shared" ref="C134" si="8">C126+C108+C81+C44</f>
        <v>138225.29999999999</v>
      </c>
      <c r="D134" s="182"/>
    </row>
    <row r="135" spans="1:25" s="7" customFormat="1">
      <c r="A135" s="158"/>
      <c r="B135" s="158" t="s">
        <v>230</v>
      </c>
      <c r="C135" s="182">
        <f>(C76-C75)*C80*(1+55.8%)+(C121-C120)*C125*(1+55.8%)</f>
        <v>3282705.9999999995</v>
      </c>
      <c r="D135" s="182"/>
    </row>
    <row r="136" spans="1:25">
      <c r="A136" s="158"/>
      <c r="B136" s="158"/>
      <c r="C136" s="141"/>
      <c r="D136" s="141"/>
      <c r="E136" s="140"/>
      <c r="F136" s="140"/>
      <c r="G136" s="140"/>
      <c r="H136" s="140"/>
      <c r="I136" s="140"/>
      <c r="J136" s="140"/>
      <c r="K136" s="140"/>
      <c r="L136" s="140"/>
      <c r="M136" s="140"/>
      <c r="N136" s="140"/>
      <c r="O136" s="140"/>
      <c r="P136" s="140"/>
      <c r="Q136" s="140"/>
      <c r="R136" s="140"/>
      <c r="S136" s="140"/>
      <c r="T136" s="140"/>
      <c r="U136" s="140"/>
      <c r="V136" s="140"/>
      <c r="W136" s="140"/>
      <c r="X136" s="140"/>
      <c r="Y136" s="140"/>
    </row>
    <row r="137" spans="1:25">
      <c r="A137" s="158"/>
      <c r="B137" s="91" t="s">
        <v>231</v>
      </c>
      <c r="C137" s="14" t="s">
        <v>60</v>
      </c>
      <c r="D137" s="141"/>
      <c r="E137" s="140"/>
      <c r="F137" s="140"/>
      <c r="G137" s="140"/>
      <c r="H137" s="140"/>
      <c r="I137" s="140"/>
      <c r="J137" s="140"/>
      <c r="K137" s="140"/>
      <c r="L137" s="140"/>
      <c r="M137" s="140"/>
      <c r="N137" s="140"/>
      <c r="O137" s="140"/>
      <c r="P137" s="140"/>
      <c r="Q137" s="140"/>
      <c r="R137" s="140"/>
      <c r="S137" s="140"/>
      <c r="T137" s="140"/>
      <c r="U137" s="140"/>
      <c r="V137" s="140"/>
      <c r="W137" s="140"/>
      <c r="X137" s="140"/>
      <c r="Y137" s="140"/>
    </row>
    <row r="138" spans="1:25">
      <c r="A138" s="158"/>
      <c r="B138" s="158"/>
      <c r="C138" s="141"/>
      <c r="D138" s="141"/>
      <c r="E138" s="140"/>
      <c r="F138" s="140"/>
      <c r="G138" s="140"/>
      <c r="H138" s="140"/>
      <c r="I138" s="140"/>
      <c r="J138" s="140"/>
      <c r="K138" s="140"/>
      <c r="L138" s="140"/>
      <c r="M138" s="140"/>
      <c r="N138" s="140"/>
      <c r="O138" s="140"/>
      <c r="P138" s="140"/>
      <c r="Q138" s="140"/>
      <c r="R138" s="140"/>
      <c r="S138" s="140"/>
      <c r="T138" s="140"/>
      <c r="U138" s="140"/>
      <c r="V138" s="140"/>
      <c r="W138" s="140"/>
      <c r="X138" s="140"/>
      <c r="Y138" s="140"/>
    </row>
    <row r="139" spans="1:25">
      <c r="A139" s="158"/>
      <c r="B139" s="163" t="s">
        <v>232</v>
      </c>
      <c r="C139" s="164"/>
      <c r="D139" s="141"/>
      <c r="E139" s="140"/>
      <c r="F139" s="140"/>
      <c r="G139" s="140"/>
      <c r="H139" s="140"/>
      <c r="I139" s="140"/>
      <c r="J139" s="140"/>
      <c r="K139" s="140"/>
      <c r="L139" s="140"/>
      <c r="M139" s="140"/>
      <c r="N139" s="140"/>
      <c r="O139" s="140"/>
      <c r="P139" s="140"/>
      <c r="Q139" s="140"/>
      <c r="R139" s="140"/>
      <c r="S139" s="140"/>
      <c r="T139" s="140"/>
      <c r="U139" s="140"/>
      <c r="V139" s="140"/>
      <c r="W139" s="140"/>
      <c r="X139" s="140"/>
      <c r="Y139" s="140"/>
    </row>
    <row r="140" spans="1:25" outlineLevel="1">
      <c r="A140" s="158"/>
      <c r="B140" s="158" t="s">
        <v>233</v>
      </c>
      <c r="C140" s="182">
        <f>'1.4 Kenmerken'!C83/'1.4 Kenmerken'!C84*(('1.4 Kenmerken'!C44-1)/'1.4 Kenmerken'!C44)*'1.4 Kenmerken'!C124     +    '1.4 Kenmerken'!C33/0.0036/'1.4 Kenmerken'!C97*(('1.4 Kenmerken'!C44-1)/'1.4 Kenmerken'!C44)*'1.4 Kenmerken'!C129</f>
        <v>20640.767042274598</v>
      </c>
      <c r="D140" s="182"/>
      <c r="E140" s="140"/>
      <c r="F140" s="140"/>
      <c r="G140" s="140"/>
      <c r="H140" s="140"/>
      <c r="I140" s="140"/>
      <c r="J140" s="140"/>
      <c r="K140" s="140"/>
      <c r="L140" s="140"/>
      <c r="M140" s="140"/>
      <c r="N140" s="140"/>
      <c r="O140" s="140"/>
      <c r="P140" s="140"/>
      <c r="Q140" s="140"/>
      <c r="R140" s="140"/>
      <c r="S140" s="140"/>
      <c r="T140" s="140"/>
      <c r="U140" s="140"/>
      <c r="V140" s="140"/>
      <c r="W140" s="140"/>
      <c r="X140" s="140"/>
      <c r="Y140" s="140"/>
    </row>
    <row r="141" spans="1:25">
      <c r="A141" s="158"/>
      <c r="B141" s="158" t="s">
        <v>234</v>
      </c>
      <c r="C141" s="182">
        <f>ROUND(SUM(C35:C36)*SUM('1.4 Kenmerken'!$C$144:$C$146)+C40*'1.4 Kenmerken'!$C$147,-3)</f>
        <v>22000</v>
      </c>
      <c r="D141" s="182"/>
      <c r="E141" s="140"/>
      <c r="F141" s="140"/>
      <c r="G141" s="140"/>
      <c r="H141" s="140"/>
      <c r="I141" s="140"/>
      <c r="J141" s="140"/>
      <c r="K141" s="140"/>
      <c r="L141" s="140"/>
      <c r="M141" s="140"/>
      <c r="N141" s="140"/>
      <c r="O141" s="140"/>
      <c r="P141" s="140"/>
      <c r="Q141" s="140"/>
      <c r="R141" s="140"/>
      <c r="S141" s="140"/>
      <c r="T141" s="140"/>
      <c r="U141" s="140"/>
      <c r="V141" s="140"/>
      <c r="W141" s="140"/>
      <c r="X141" s="140"/>
      <c r="Y141" s="140"/>
    </row>
    <row r="142" spans="1:25">
      <c r="A142" s="158"/>
      <c r="B142" s="158" t="s">
        <v>203</v>
      </c>
      <c r="C142" s="182">
        <f>ROUND(C40*'1.4 Kenmerken'!$C$141,-3)</f>
        <v>20000</v>
      </c>
      <c r="D142" s="182"/>
      <c r="E142" s="140"/>
      <c r="F142" s="140"/>
      <c r="G142" s="140"/>
      <c r="H142" s="140"/>
      <c r="I142" s="140"/>
      <c r="J142" s="140"/>
      <c r="K142" s="140"/>
      <c r="L142" s="140"/>
      <c r="M142" s="140"/>
      <c r="N142" s="140"/>
      <c r="O142" s="140"/>
      <c r="P142" s="140"/>
      <c r="Q142" s="140"/>
      <c r="R142" s="140"/>
      <c r="S142" s="140"/>
      <c r="T142" s="140"/>
      <c r="U142" s="140"/>
      <c r="V142" s="140"/>
      <c r="W142" s="140"/>
      <c r="X142" s="140"/>
      <c r="Y142" s="140"/>
    </row>
    <row r="143" spans="1:25" s="7" customFormat="1">
      <c r="A143" s="158"/>
      <c r="B143" s="6" t="s">
        <v>235</v>
      </c>
      <c r="C143" s="74">
        <f t="shared" ref="C143" si="9">ROUND((SUM(C140:C142)),-4)</f>
        <v>60000</v>
      </c>
      <c r="D143" s="74"/>
    </row>
    <row r="144" spans="1:25" s="7" customFormat="1">
      <c r="A144" s="158"/>
      <c r="B144" s="6"/>
      <c r="C144" s="75">
        <f>C143/('1.4 Kenmerken'!C8*1000)</f>
        <v>12</v>
      </c>
      <c r="D144" s="75"/>
    </row>
    <row r="145" spans="1:25" s="7" customFormat="1">
      <c r="A145" s="158"/>
      <c r="B145" s="6"/>
      <c r="C145" s="75"/>
      <c r="D145" s="75"/>
    </row>
    <row r="146" spans="1:25">
      <c r="A146" s="158"/>
      <c r="B146" s="163" t="s">
        <v>207</v>
      </c>
      <c r="C146" s="164"/>
      <c r="D146" s="141"/>
      <c r="E146" s="140"/>
      <c r="F146" s="140"/>
      <c r="G146" s="140"/>
      <c r="H146" s="140"/>
      <c r="I146" s="140"/>
      <c r="J146" s="140"/>
      <c r="K146" s="140"/>
      <c r="L146" s="140"/>
      <c r="M146" s="140"/>
      <c r="N146" s="140"/>
      <c r="O146" s="140"/>
      <c r="P146" s="140"/>
      <c r="Q146" s="140"/>
      <c r="R146" s="140"/>
      <c r="S146" s="140"/>
      <c r="T146" s="140"/>
      <c r="U146" s="140"/>
      <c r="V146" s="140"/>
      <c r="W146" s="140"/>
      <c r="X146" s="140"/>
      <c r="Y146" s="140"/>
    </row>
    <row r="147" spans="1:25" outlineLevel="1">
      <c r="A147" s="158"/>
      <c r="B147" s="158" t="s">
        <v>236</v>
      </c>
      <c r="C147" s="182">
        <f>'1.4 Kenmerken'!C96/'1.4 Kenmerken'!C97*(('1.4 Kenmerken'!C44-1)/'1.4 Kenmerken'!C44)*'1.4 Kenmerken'!C124       +     '1.4 Kenmerken'!C35/0.0036/'1.4 Kenmerken'!C84*(('1.4 Kenmerken'!C44-1)/'1.4 Kenmerken'!C44)*'1.4 Kenmerken'!C129</f>
        <v>18762.157411148521</v>
      </c>
      <c r="D147" s="182"/>
      <c r="E147" s="140"/>
      <c r="F147" s="140"/>
      <c r="G147" s="140"/>
      <c r="H147" s="140"/>
      <c r="I147" s="140"/>
      <c r="J147" s="140"/>
      <c r="K147" s="140"/>
      <c r="L147" s="140"/>
      <c r="M147" s="140"/>
      <c r="N147" s="140"/>
      <c r="O147" s="140"/>
      <c r="P147" s="140"/>
      <c r="Q147" s="140"/>
      <c r="R147" s="140"/>
      <c r="S147" s="140"/>
      <c r="T147" s="140"/>
      <c r="U147" s="140"/>
      <c r="V147" s="140"/>
      <c r="W147" s="140"/>
      <c r="X147" s="140"/>
      <c r="Y147" s="140"/>
    </row>
    <row r="148" spans="1:25">
      <c r="A148" s="158"/>
      <c r="B148" s="158" t="s">
        <v>234</v>
      </c>
      <c r="C148" s="182">
        <f>ROUND(SUM(C53:C54)*SUM('1.4 Kenmerken'!$C$144:$C$146)+C58*'1.4 Kenmerken'!$C$147,-3)</f>
        <v>21000</v>
      </c>
      <c r="D148" s="182"/>
      <c r="E148" s="140"/>
      <c r="F148" s="140"/>
      <c r="G148" s="140"/>
      <c r="H148" s="140"/>
      <c r="I148" s="140"/>
      <c r="J148" s="140"/>
      <c r="K148" s="140"/>
      <c r="L148" s="140"/>
      <c r="M148" s="140"/>
      <c r="N148" s="140"/>
      <c r="O148" s="140"/>
      <c r="P148" s="140"/>
      <c r="Q148" s="140"/>
      <c r="R148" s="140"/>
      <c r="S148" s="140"/>
      <c r="T148" s="140"/>
      <c r="U148" s="140"/>
      <c r="V148" s="140"/>
      <c r="W148" s="140"/>
      <c r="X148" s="140"/>
      <c r="Y148" s="140"/>
    </row>
    <row r="149" spans="1:25">
      <c r="A149" s="158"/>
      <c r="B149" s="158" t="s">
        <v>203</v>
      </c>
      <c r="C149" s="182">
        <f>ROUND(C58*'1.4 Kenmerken'!$C$141,-3)</f>
        <v>20000</v>
      </c>
      <c r="D149" s="182"/>
      <c r="E149" s="140"/>
      <c r="F149" s="140"/>
      <c r="G149" s="140"/>
      <c r="H149" s="140"/>
      <c r="I149" s="140"/>
      <c r="J149" s="140"/>
      <c r="K149" s="140"/>
      <c r="L149" s="140"/>
      <c r="M149" s="140"/>
      <c r="N149" s="140"/>
      <c r="O149" s="140"/>
      <c r="P149" s="140"/>
      <c r="Q149" s="140"/>
      <c r="R149" s="140"/>
      <c r="S149" s="140"/>
      <c r="T149" s="140"/>
      <c r="U149" s="140"/>
      <c r="V149" s="140"/>
      <c r="W149" s="140"/>
      <c r="X149" s="140"/>
      <c r="Y149" s="140"/>
    </row>
    <row r="150" spans="1:25" s="7" customFormat="1">
      <c r="A150" s="158"/>
      <c r="B150" s="6" t="s">
        <v>237</v>
      </c>
      <c r="C150" s="74">
        <f t="shared" ref="C150" si="10">ROUND((SUM(C147:C149)),-4)</f>
        <v>60000</v>
      </c>
      <c r="D150" s="74"/>
    </row>
    <row r="151" spans="1:25" s="7" customFormat="1">
      <c r="A151" s="158"/>
      <c r="B151" s="6"/>
      <c r="C151" s="75">
        <f>C150/('1.4 Kenmerken'!C8*1000)</f>
        <v>12</v>
      </c>
      <c r="D151" s="75"/>
    </row>
    <row r="152" spans="1:25">
      <c r="A152" s="158"/>
      <c r="B152" s="158"/>
      <c r="C152" s="167"/>
      <c r="D152" s="167"/>
      <c r="E152" s="140"/>
      <c r="F152" s="140"/>
      <c r="G152" s="140"/>
      <c r="H152" s="140"/>
      <c r="I152" s="140"/>
      <c r="J152" s="140"/>
      <c r="K152" s="140"/>
      <c r="L152" s="140"/>
      <c r="M152" s="140"/>
      <c r="N152" s="140"/>
      <c r="O152" s="140"/>
      <c r="P152" s="140"/>
      <c r="Q152" s="140"/>
      <c r="R152" s="140"/>
      <c r="S152" s="140"/>
      <c r="T152" s="140"/>
      <c r="U152" s="140"/>
      <c r="V152" s="140"/>
      <c r="W152" s="140"/>
      <c r="X152" s="140"/>
      <c r="Y152" s="140"/>
    </row>
    <row r="153" spans="1:25">
      <c r="A153" s="158"/>
      <c r="B153" s="163" t="s">
        <v>238</v>
      </c>
      <c r="C153" s="164"/>
      <c r="D153" s="141"/>
      <c r="E153" s="140"/>
      <c r="F153" s="140"/>
      <c r="G153" s="140"/>
      <c r="H153" s="140"/>
      <c r="I153" s="140"/>
      <c r="J153" s="140"/>
      <c r="K153" s="140"/>
      <c r="L153" s="140"/>
      <c r="M153" s="140"/>
      <c r="N153" s="140"/>
      <c r="O153" s="140"/>
      <c r="P153" s="140"/>
      <c r="Q153" s="140"/>
      <c r="R153" s="140"/>
      <c r="S153" s="140"/>
      <c r="T153" s="140"/>
      <c r="U153" s="140"/>
      <c r="V153" s="140"/>
      <c r="W153" s="140"/>
      <c r="X153" s="140"/>
      <c r="Y153" s="140"/>
    </row>
    <row r="154" spans="1:25" s="32" customFormat="1" outlineLevel="1">
      <c r="A154" s="158"/>
      <c r="B154" s="28" t="s">
        <v>239</v>
      </c>
      <c r="C154" s="79">
        <f>ROUND((('1.4 Kenmerken'!C48)*'1.4 Kenmerken'!C124),-4)</f>
        <v>40000</v>
      </c>
      <c r="D154" s="79"/>
    </row>
    <row r="155" spans="1:25" s="32" customFormat="1" outlineLevel="1">
      <c r="A155" s="158"/>
      <c r="B155" s="28" t="s">
        <v>240</v>
      </c>
      <c r="C155" s="79">
        <f>ROUND(('1.4 Kenmerken'!C47*'1.4 Kenmerken'!C126),-4)</f>
        <v>370000</v>
      </c>
      <c r="D155" s="79"/>
    </row>
    <row r="156" spans="1:25">
      <c r="A156" s="158"/>
      <c r="B156" s="158" t="s">
        <v>241</v>
      </c>
      <c r="C156" s="182">
        <f t="shared" ref="C156" si="11">C154+C155</f>
        <v>410000</v>
      </c>
      <c r="D156" s="182"/>
      <c r="E156" s="140"/>
      <c r="F156" s="140"/>
      <c r="G156" s="140"/>
      <c r="H156" s="140"/>
      <c r="I156" s="140"/>
      <c r="J156" s="140"/>
      <c r="K156" s="140"/>
      <c r="L156" s="140"/>
      <c r="M156" s="140"/>
      <c r="N156" s="140"/>
      <c r="O156" s="140"/>
      <c r="P156" s="140"/>
      <c r="Q156" s="140"/>
      <c r="R156" s="140"/>
      <c r="S156" s="140"/>
      <c r="T156" s="140"/>
      <c r="U156" s="140"/>
      <c r="V156" s="140"/>
      <c r="W156" s="140"/>
      <c r="X156" s="140"/>
      <c r="Y156" s="140"/>
    </row>
    <row r="157" spans="1:25">
      <c r="A157" s="158"/>
      <c r="B157" s="158" t="s">
        <v>234</v>
      </c>
      <c r="C157" s="182">
        <f>ROUND((C70+C72)*SUM('1.4 Kenmerken'!$C$144:$C$146)+C76*'1.4 Kenmerken'!$C$147,-3)</f>
        <v>82000</v>
      </c>
      <c r="D157" s="182"/>
      <c r="E157" s="140"/>
      <c r="F157" s="140"/>
      <c r="G157" s="140"/>
      <c r="H157" s="140"/>
      <c r="I157" s="140"/>
      <c r="J157" s="140"/>
      <c r="K157" s="140"/>
      <c r="L157" s="140"/>
      <c r="M157" s="140"/>
      <c r="N157" s="140"/>
      <c r="O157" s="140"/>
      <c r="P157" s="140"/>
      <c r="Q157" s="140"/>
      <c r="R157" s="140"/>
      <c r="S157" s="140"/>
      <c r="T157" s="140"/>
      <c r="U157" s="140"/>
      <c r="V157" s="140"/>
      <c r="W157" s="140"/>
      <c r="X157" s="140"/>
      <c r="Y157" s="140"/>
    </row>
    <row r="158" spans="1:25">
      <c r="A158" s="158"/>
      <c r="B158" s="158" t="s">
        <v>203</v>
      </c>
      <c r="C158" s="182">
        <f>ROUND(C76*'1.4 Kenmerken'!$C$141,-3)</f>
        <v>62000</v>
      </c>
      <c r="D158" s="182"/>
      <c r="E158" s="140"/>
      <c r="F158" s="140"/>
      <c r="G158" s="140"/>
      <c r="H158" s="140"/>
      <c r="I158" s="140"/>
      <c r="J158" s="140"/>
      <c r="K158" s="140"/>
      <c r="L158" s="140"/>
      <c r="M158" s="140"/>
      <c r="N158" s="140"/>
      <c r="O158" s="140"/>
      <c r="P158" s="140"/>
      <c r="Q158" s="140"/>
      <c r="R158" s="140"/>
      <c r="S158" s="140"/>
      <c r="T158" s="140"/>
      <c r="U158" s="140"/>
      <c r="V158" s="140"/>
      <c r="W158" s="140"/>
      <c r="X158" s="140"/>
      <c r="Y158" s="140"/>
    </row>
    <row r="159" spans="1:25" s="7" customFormat="1">
      <c r="A159" s="158"/>
      <c r="B159" s="6" t="s">
        <v>242</v>
      </c>
      <c r="C159" s="74">
        <f t="shared" ref="C159" si="12">ROUND((SUM(C156:C158)),-4)</f>
        <v>550000</v>
      </c>
      <c r="D159" s="74"/>
    </row>
    <row r="160" spans="1:25" s="7" customFormat="1">
      <c r="A160" s="158"/>
      <c r="B160" s="6"/>
      <c r="C160" s="75">
        <f>C159/('1.4 Kenmerken'!C8*1000)</f>
        <v>110</v>
      </c>
      <c r="D160" s="75"/>
    </row>
    <row r="161" spans="1:25" s="7" customFormat="1">
      <c r="A161" s="158"/>
      <c r="B161" s="6"/>
      <c r="C161" s="75"/>
      <c r="D161" s="75"/>
    </row>
    <row r="162" spans="1:25">
      <c r="A162" s="158"/>
      <c r="B162" s="163" t="s">
        <v>96</v>
      </c>
      <c r="C162" s="164"/>
      <c r="D162" s="141"/>
      <c r="E162" s="140"/>
      <c r="F162" s="140"/>
      <c r="G162" s="140"/>
      <c r="H162" s="140"/>
      <c r="I162" s="140"/>
      <c r="J162" s="140"/>
      <c r="K162" s="140"/>
      <c r="L162" s="140"/>
      <c r="M162" s="140"/>
      <c r="N162" s="140"/>
      <c r="O162" s="140"/>
      <c r="P162" s="140"/>
      <c r="Q162" s="140"/>
      <c r="R162" s="140"/>
      <c r="S162" s="140"/>
      <c r="T162" s="140"/>
      <c r="U162" s="140"/>
      <c r="V162" s="140"/>
      <c r="W162" s="140"/>
      <c r="X162" s="140"/>
      <c r="Y162" s="140"/>
    </row>
    <row r="163" spans="1:25" s="32" customFormat="1" outlineLevel="1">
      <c r="A163" s="158"/>
      <c r="B163" s="28" t="s">
        <v>243</v>
      </c>
      <c r="C163" s="79">
        <f>('1.4 Kenmerken'!C52/'1.4 Kenmerken'!C58)*1000*'1.4 Kenmerken'!C124</f>
        <v>3664.8888888888882</v>
      </c>
      <c r="D163" s="79"/>
    </row>
    <row r="164" spans="1:25" s="32" customFormat="1" outlineLevel="1">
      <c r="A164" s="158"/>
      <c r="B164" s="28" t="s">
        <v>240</v>
      </c>
      <c r="C164" s="79">
        <f>ROUND(('1.4 Kenmerken'!C59*'1.4 Kenmerken'!C126),-2)</f>
        <v>29900</v>
      </c>
      <c r="D164" s="79"/>
    </row>
    <row r="165" spans="1:25">
      <c r="A165" s="158"/>
      <c r="B165" s="158" t="s">
        <v>244</v>
      </c>
      <c r="C165" s="182">
        <f t="shared" ref="C165" si="13">C163+C164</f>
        <v>33564.888888888891</v>
      </c>
      <c r="D165" s="182"/>
      <c r="E165" s="140"/>
      <c r="F165" s="140"/>
      <c r="G165" s="140"/>
      <c r="H165" s="140"/>
      <c r="I165" s="140"/>
      <c r="J165" s="140"/>
      <c r="K165" s="140"/>
      <c r="L165" s="140"/>
      <c r="M165" s="140"/>
      <c r="N165" s="140"/>
      <c r="O165" s="140"/>
      <c r="P165" s="140"/>
      <c r="Q165" s="140"/>
      <c r="R165" s="140"/>
      <c r="S165" s="140"/>
      <c r="T165" s="140"/>
      <c r="U165" s="140"/>
      <c r="V165" s="140"/>
      <c r="W165" s="140"/>
      <c r="X165" s="140"/>
      <c r="Y165" s="140"/>
    </row>
    <row r="166" spans="1:25">
      <c r="A166" s="158"/>
      <c r="B166" s="158" t="s">
        <v>234</v>
      </c>
      <c r="C166" s="182">
        <f>ROUND((C84+C86)*SUM('1.4 Kenmerken'!$C$144:$C$146)+C90*'1.4 Kenmerken'!$C$147,-3)</f>
        <v>18000</v>
      </c>
      <c r="D166" s="182"/>
      <c r="E166" s="140"/>
      <c r="F166" s="140"/>
      <c r="G166" s="140"/>
      <c r="H166" s="140"/>
      <c r="I166" s="140"/>
      <c r="J166" s="140"/>
      <c r="K166" s="140"/>
      <c r="L166" s="140"/>
      <c r="M166" s="140"/>
      <c r="N166" s="140"/>
      <c r="O166" s="140"/>
      <c r="P166" s="140"/>
      <c r="Q166" s="140"/>
      <c r="R166" s="140"/>
      <c r="S166" s="140"/>
      <c r="T166" s="140"/>
      <c r="U166" s="140"/>
      <c r="V166" s="140"/>
      <c r="W166" s="140"/>
      <c r="X166" s="140"/>
      <c r="Y166" s="140"/>
    </row>
    <row r="167" spans="1:25">
      <c r="A167" s="158"/>
      <c r="B167" s="158" t="s">
        <v>203</v>
      </c>
      <c r="C167" s="182">
        <f>ROUND(C90*'1.4 Kenmerken'!$C$141,-3)</f>
        <v>14000</v>
      </c>
      <c r="D167" s="182"/>
      <c r="E167" s="140"/>
      <c r="F167" s="140"/>
      <c r="G167" s="140"/>
      <c r="H167" s="140"/>
      <c r="I167" s="140"/>
      <c r="J167" s="140"/>
      <c r="K167" s="140"/>
      <c r="L167" s="140"/>
      <c r="M167" s="140"/>
      <c r="N167" s="140"/>
      <c r="O167" s="140"/>
      <c r="P167" s="140"/>
      <c r="Q167" s="140"/>
      <c r="R167" s="140"/>
      <c r="S167" s="140"/>
      <c r="T167" s="140"/>
      <c r="U167" s="140"/>
      <c r="V167" s="140"/>
      <c r="W167" s="140"/>
      <c r="X167" s="140"/>
      <c r="Y167" s="140"/>
    </row>
    <row r="168" spans="1:25" s="7" customFormat="1">
      <c r="A168" s="158"/>
      <c r="B168" s="6" t="s">
        <v>245</v>
      </c>
      <c r="C168" s="74">
        <f t="shared" ref="C168" si="14">ROUND((C165+C166+C167),-4)</f>
        <v>70000</v>
      </c>
      <c r="D168" s="74"/>
    </row>
    <row r="169" spans="1:25" s="7" customFormat="1">
      <c r="A169" s="158"/>
      <c r="B169" s="6"/>
      <c r="C169" s="75">
        <f>C168/('1.4 Kenmerken'!C8*1000)</f>
        <v>14</v>
      </c>
      <c r="D169" s="75"/>
    </row>
    <row r="170" spans="1:25">
      <c r="A170" s="158"/>
      <c r="B170" s="158"/>
      <c r="C170" s="141"/>
      <c r="D170" s="141"/>
      <c r="E170" s="140"/>
      <c r="F170" s="140"/>
      <c r="G170" s="140"/>
      <c r="H170" s="140"/>
      <c r="I170" s="140"/>
      <c r="J170" s="140"/>
      <c r="K170" s="140"/>
      <c r="L170" s="140"/>
      <c r="M170" s="140"/>
      <c r="N170" s="140"/>
      <c r="O170" s="140"/>
      <c r="P170" s="140"/>
      <c r="Q170" s="140"/>
      <c r="R170" s="140"/>
      <c r="S170" s="140"/>
      <c r="T170" s="140"/>
      <c r="U170" s="140"/>
      <c r="V170" s="140"/>
      <c r="W170" s="140"/>
      <c r="X170" s="140"/>
      <c r="Y170" s="140"/>
    </row>
    <row r="171" spans="1:25">
      <c r="A171" s="158"/>
      <c r="B171" s="163" t="s">
        <v>104</v>
      </c>
      <c r="C171" s="164"/>
      <c r="D171" s="141"/>
      <c r="E171" s="140"/>
      <c r="F171" s="140"/>
      <c r="G171" s="140"/>
      <c r="H171" s="140"/>
      <c r="I171" s="140"/>
      <c r="J171" s="140"/>
      <c r="K171" s="140"/>
      <c r="L171" s="140"/>
      <c r="M171" s="140"/>
      <c r="N171" s="140"/>
      <c r="O171" s="140"/>
      <c r="P171" s="140"/>
      <c r="Q171" s="140"/>
      <c r="R171" s="140"/>
      <c r="S171" s="140"/>
      <c r="T171" s="140"/>
      <c r="U171" s="140"/>
      <c r="V171" s="140"/>
      <c r="W171" s="140"/>
      <c r="X171" s="140"/>
      <c r="Y171" s="140"/>
    </row>
    <row r="172" spans="1:25" s="32" customFormat="1" outlineLevel="1">
      <c r="A172" s="158"/>
      <c r="B172" s="28" t="s">
        <v>243</v>
      </c>
      <c r="C172" s="79">
        <f>('1.4 Kenmerken'!C63/'1.4 Kenmerken'!C71)*1000*'1.4 Kenmerken'!C124</f>
        <v>2083.333333333333</v>
      </c>
      <c r="D172" s="79"/>
    </row>
    <row r="173" spans="1:25" s="32" customFormat="1" outlineLevel="1">
      <c r="A173" s="158"/>
      <c r="B173" s="28" t="s">
        <v>240</v>
      </c>
      <c r="C173" s="79">
        <f>ROUND(('1.4 Kenmerken'!C72*'1.4 Kenmerken'!C126),-2)</f>
        <v>37400</v>
      </c>
      <c r="D173" s="79"/>
    </row>
    <row r="174" spans="1:25">
      <c r="A174" s="158"/>
      <c r="B174" s="158" t="s">
        <v>246</v>
      </c>
      <c r="C174" s="182">
        <f t="shared" ref="C174" si="15">C172+C173</f>
        <v>39483.333333333336</v>
      </c>
      <c r="D174" s="182"/>
      <c r="E174" s="140"/>
      <c r="F174" s="140"/>
      <c r="G174" s="140"/>
      <c r="H174" s="140"/>
      <c r="I174" s="140"/>
      <c r="J174" s="140"/>
      <c r="K174" s="140"/>
      <c r="L174" s="140"/>
      <c r="M174" s="140"/>
      <c r="N174" s="140"/>
      <c r="O174" s="140"/>
      <c r="P174" s="140"/>
      <c r="Q174" s="140"/>
      <c r="R174" s="140"/>
      <c r="S174" s="140"/>
      <c r="T174" s="140"/>
      <c r="U174" s="140"/>
      <c r="V174" s="140"/>
      <c r="W174" s="140"/>
      <c r="X174" s="140"/>
      <c r="Y174" s="140"/>
    </row>
    <row r="175" spans="1:25">
      <c r="A175" s="158"/>
      <c r="B175" s="158" t="s">
        <v>234</v>
      </c>
      <c r="C175" s="182">
        <f>ROUND((C98+C100)*SUM('1.4 Kenmerken'!$C$144:$C$146)+C104*'1.4 Kenmerken'!$C$147,-3)</f>
        <v>29000</v>
      </c>
      <c r="D175" s="182"/>
      <c r="E175" s="140"/>
      <c r="F175" s="140"/>
      <c r="G175" s="140"/>
      <c r="H175" s="140"/>
      <c r="I175" s="140"/>
      <c r="J175" s="140"/>
      <c r="K175" s="140"/>
      <c r="L175" s="140"/>
      <c r="M175" s="140"/>
      <c r="N175" s="140"/>
      <c r="O175" s="140"/>
      <c r="P175" s="140"/>
      <c r="Q175" s="140"/>
      <c r="R175" s="140"/>
      <c r="S175" s="140"/>
      <c r="T175" s="140"/>
      <c r="U175" s="140"/>
      <c r="V175" s="140"/>
      <c r="W175" s="140"/>
      <c r="X175" s="140"/>
      <c r="Y175" s="140"/>
    </row>
    <row r="176" spans="1:25">
      <c r="A176" s="158"/>
      <c r="B176" s="158" t="s">
        <v>203</v>
      </c>
      <c r="C176" s="182">
        <f>ROUND(C104*'1.4 Kenmerken'!$C$141,-3)</f>
        <v>22000</v>
      </c>
      <c r="D176" s="182"/>
      <c r="E176" s="140"/>
      <c r="F176" s="140"/>
      <c r="G176" s="140"/>
      <c r="H176" s="140"/>
      <c r="I176" s="140"/>
      <c r="J176" s="140"/>
      <c r="K176" s="140"/>
      <c r="L176" s="140"/>
      <c r="M176" s="140"/>
      <c r="N176" s="140"/>
      <c r="O176" s="140"/>
      <c r="P176" s="140"/>
      <c r="Q176" s="140"/>
      <c r="R176" s="140"/>
      <c r="S176" s="140"/>
      <c r="T176" s="140"/>
      <c r="U176" s="140"/>
      <c r="V176" s="140"/>
      <c r="W176" s="140"/>
      <c r="X176" s="140"/>
      <c r="Y176" s="140"/>
    </row>
    <row r="177" spans="1:25" s="7" customFormat="1">
      <c r="A177" s="158"/>
      <c r="B177" s="6" t="s">
        <v>247</v>
      </c>
      <c r="C177" s="74">
        <f t="shared" ref="C177" si="16">ROUND((C174+C175+C176),-4)</f>
        <v>90000</v>
      </c>
      <c r="D177" s="74"/>
    </row>
    <row r="178" spans="1:25" s="7" customFormat="1">
      <c r="A178" s="158"/>
      <c r="B178" s="6"/>
      <c r="C178" s="75">
        <f>C177/('1.4 Kenmerken'!C8*1000)</f>
        <v>18</v>
      </c>
      <c r="D178" s="75"/>
    </row>
    <row r="179" spans="1:25">
      <c r="A179" s="158"/>
      <c r="B179" s="158"/>
      <c r="C179" s="141"/>
      <c r="D179" s="141"/>
      <c r="E179" s="140"/>
      <c r="F179" s="140"/>
      <c r="G179" s="140"/>
      <c r="H179" s="140"/>
      <c r="I179" s="140"/>
      <c r="J179" s="140"/>
      <c r="K179" s="140"/>
      <c r="L179" s="140"/>
      <c r="M179" s="140"/>
      <c r="N179" s="140"/>
      <c r="O179" s="140"/>
      <c r="P179" s="140"/>
      <c r="Q179" s="140"/>
      <c r="R179" s="140"/>
      <c r="S179" s="140"/>
      <c r="T179" s="140"/>
      <c r="U179" s="140"/>
      <c r="V179" s="140"/>
      <c r="W179" s="140"/>
      <c r="X179" s="140"/>
      <c r="Y179" s="140"/>
    </row>
    <row r="180" spans="1:25">
      <c r="A180" s="158"/>
      <c r="B180" s="163" t="s">
        <v>137</v>
      </c>
      <c r="C180" s="164"/>
      <c r="D180" s="141"/>
      <c r="E180" s="140"/>
      <c r="F180" s="140"/>
      <c r="G180" s="140"/>
      <c r="H180" s="140"/>
      <c r="I180" s="140"/>
      <c r="J180" s="140"/>
      <c r="K180" s="140"/>
      <c r="L180" s="140"/>
      <c r="M180" s="140"/>
      <c r="N180" s="140"/>
      <c r="O180" s="140"/>
      <c r="P180" s="140"/>
      <c r="Q180" s="140"/>
      <c r="R180" s="140"/>
      <c r="S180" s="140"/>
      <c r="T180" s="140"/>
      <c r="U180" s="140"/>
      <c r="V180" s="140"/>
      <c r="W180" s="140"/>
      <c r="X180" s="140"/>
      <c r="Y180" s="140"/>
    </row>
    <row r="181" spans="1:25" s="32" customFormat="1" outlineLevel="1">
      <c r="A181" s="158"/>
      <c r="B181" s="28" t="s">
        <v>248</v>
      </c>
      <c r="C181" s="79">
        <f>ROUND(('1.4 Kenmerken'!C100*1000*IF(C12="gas",'1.4 Kenmerken'!C130,'1.4 Kenmerken'!C124)),-4)</f>
        <v>130000</v>
      </c>
      <c r="D181" s="79"/>
    </row>
    <row r="182" spans="1:25" s="32" customFormat="1" outlineLevel="1">
      <c r="A182" s="158"/>
      <c r="B182" s="28" t="s">
        <v>249</v>
      </c>
      <c r="C182" s="79">
        <f>ROUND(('1.4 Kenmerken'!C104*IF(C12="Gas",'1.4 Kenmerken'!C131,'1.4 Kenmerken'!C126)),-4)</f>
        <v>70000</v>
      </c>
      <c r="D182" s="79"/>
    </row>
    <row r="183" spans="1:25">
      <c r="A183" s="158"/>
      <c r="B183" s="158" t="s">
        <v>250</v>
      </c>
      <c r="C183" s="182">
        <f t="shared" ref="C183" si="17">C181+C182</f>
        <v>200000</v>
      </c>
      <c r="D183" s="182"/>
      <c r="E183" s="140"/>
      <c r="F183" s="140"/>
      <c r="G183" s="140"/>
      <c r="H183" s="140"/>
      <c r="I183" s="140"/>
      <c r="J183" s="140"/>
      <c r="K183" s="140"/>
      <c r="L183" s="140"/>
      <c r="M183" s="140"/>
      <c r="N183" s="140"/>
      <c r="O183" s="140"/>
      <c r="P183" s="140"/>
      <c r="Q183" s="140"/>
      <c r="R183" s="140"/>
      <c r="S183" s="140"/>
      <c r="T183" s="140"/>
      <c r="U183" s="140"/>
      <c r="V183" s="140"/>
      <c r="W183" s="140"/>
      <c r="X183" s="140"/>
      <c r="Y183" s="140"/>
    </row>
    <row r="184" spans="1:25">
      <c r="A184" s="158"/>
      <c r="B184" s="158" t="s">
        <v>234</v>
      </c>
      <c r="C184" s="182">
        <f>ROUND((C115+C117)*SUM('1.4 Kenmerken'!C144:C146)+C121*'1.4 Kenmerken'!C147,-3)</f>
        <v>24000</v>
      </c>
      <c r="D184" s="182"/>
      <c r="E184" s="140"/>
      <c r="F184" s="140"/>
      <c r="G184" s="140"/>
      <c r="H184" s="140"/>
      <c r="I184" s="140"/>
      <c r="J184" s="140"/>
      <c r="K184" s="140"/>
      <c r="L184" s="140"/>
      <c r="M184" s="140"/>
      <c r="N184" s="140"/>
      <c r="O184" s="140"/>
      <c r="P184" s="140"/>
      <c r="Q184" s="140"/>
      <c r="R184" s="140"/>
      <c r="S184" s="140"/>
      <c r="T184" s="140"/>
      <c r="U184" s="140"/>
      <c r="V184" s="140"/>
      <c r="W184" s="140"/>
      <c r="X184" s="140"/>
      <c r="Y184" s="140"/>
    </row>
    <row r="185" spans="1:25">
      <c r="A185" s="158"/>
      <c r="B185" s="158" t="s">
        <v>203</v>
      </c>
      <c r="C185" s="182">
        <f>ROUND(C121*'1.4 Kenmerken'!$C$141,-3)</f>
        <v>0</v>
      </c>
      <c r="D185" s="182"/>
      <c r="E185" s="140"/>
      <c r="F185" s="140"/>
      <c r="G185" s="140"/>
      <c r="H185" s="140"/>
      <c r="I185" s="140"/>
      <c r="J185" s="140"/>
      <c r="K185" s="140"/>
      <c r="L185" s="140"/>
      <c r="M185" s="140"/>
      <c r="N185" s="140"/>
      <c r="O185" s="140"/>
      <c r="P185" s="140"/>
      <c r="Q185" s="140"/>
      <c r="R185" s="140"/>
      <c r="S185" s="140"/>
      <c r="T185" s="140"/>
      <c r="U185" s="140"/>
      <c r="V185" s="140"/>
      <c r="W185" s="140"/>
      <c r="X185" s="140"/>
      <c r="Y185" s="140"/>
    </row>
    <row r="186" spans="1:25" s="7" customFormat="1">
      <c r="A186" s="158"/>
      <c r="B186" s="6" t="s">
        <v>251</v>
      </c>
      <c r="C186" s="74">
        <v>0</v>
      </c>
      <c r="D186" s="74"/>
    </row>
    <row r="187" spans="1:25" s="7" customFormat="1">
      <c r="A187" s="158"/>
      <c r="B187" s="6"/>
      <c r="C187" s="75">
        <f>C186/('1.4 Kenmerken'!C8*1000)</f>
        <v>0</v>
      </c>
      <c r="D187" s="75"/>
    </row>
    <row r="188" spans="1:25">
      <c r="A188" s="158"/>
      <c r="B188" s="158"/>
      <c r="C188" s="141"/>
      <c r="D188" s="141"/>
      <c r="E188" s="140"/>
      <c r="F188" s="140"/>
      <c r="G188" s="140"/>
      <c r="H188" s="140"/>
      <c r="I188" s="140"/>
      <c r="J188" s="140"/>
      <c r="K188" s="140"/>
      <c r="L188" s="140"/>
      <c r="M188" s="140"/>
      <c r="N188" s="140"/>
      <c r="O188" s="140"/>
      <c r="P188" s="140"/>
      <c r="Q188" s="140"/>
      <c r="R188" s="140"/>
      <c r="S188" s="140"/>
      <c r="T188" s="140"/>
      <c r="U188" s="140"/>
      <c r="V188" s="140"/>
      <c r="W188" s="140"/>
      <c r="X188" s="140"/>
      <c r="Y188" s="140"/>
    </row>
    <row r="189" spans="1:25" s="7" customFormat="1">
      <c r="A189" s="158"/>
      <c r="B189" s="76" t="s">
        <v>226</v>
      </c>
      <c r="C189" s="126"/>
      <c r="D189" s="77"/>
    </row>
    <row r="190" spans="1:25" s="7" customFormat="1">
      <c r="A190" s="158"/>
      <c r="B190" s="6"/>
      <c r="C190" s="74">
        <f>ROUND((C143+C159+C177+C186+C168+C150),-5)</f>
        <v>800000</v>
      </c>
      <c r="D190" s="74"/>
    </row>
    <row r="191" spans="1:25">
      <c r="A191" s="158"/>
      <c r="B191" s="158"/>
      <c r="C191" s="141"/>
      <c r="D191" s="141"/>
      <c r="E191" s="140"/>
      <c r="F191" s="140"/>
      <c r="G191" s="140"/>
      <c r="H191" s="140"/>
      <c r="I191" s="140"/>
      <c r="J191" s="140"/>
      <c r="K191" s="140"/>
      <c r="L191" s="140"/>
      <c r="M191" s="140"/>
      <c r="N191" s="140"/>
      <c r="O191" s="140"/>
      <c r="P191" s="140"/>
      <c r="Q191" s="140"/>
      <c r="R191" s="140"/>
      <c r="S191" s="140"/>
      <c r="T191" s="140"/>
      <c r="U191" s="140"/>
      <c r="V191" s="140"/>
      <c r="W191" s="140"/>
      <c r="X191" s="140"/>
      <c r="Y191" s="140"/>
    </row>
    <row r="192" spans="1:25">
      <c r="A192" s="158"/>
      <c r="B192" s="92" t="s">
        <v>252</v>
      </c>
      <c r="C192" s="127" t="s">
        <v>60</v>
      </c>
      <c r="D192" s="141"/>
      <c r="E192" s="140"/>
      <c r="F192" s="140"/>
      <c r="G192" s="140"/>
      <c r="H192" s="140"/>
      <c r="I192" s="140"/>
      <c r="J192" s="140"/>
      <c r="K192" s="140"/>
      <c r="L192" s="140"/>
      <c r="M192" s="140"/>
      <c r="N192" s="140"/>
      <c r="O192" s="140"/>
      <c r="P192" s="140"/>
      <c r="Q192" s="140"/>
      <c r="R192" s="140"/>
      <c r="S192" s="140"/>
      <c r="T192" s="140"/>
      <c r="U192" s="140"/>
      <c r="V192" s="140"/>
      <c r="W192" s="140"/>
      <c r="X192" s="140"/>
      <c r="Y192" s="140"/>
    </row>
    <row r="193" spans="1:25">
      <c r="A193" s="158"/>
      <c r="B193" s="158" t="s">
        <v>253</v>
      </c>
      <c r="C193" s="182">
        <f>ROUND(('1.4 Kenmerken'!C33*'1.4 Kenmerken'!C156*1000),-4)</f>
        <v>710000</v>
      </c>
      <c r="D193" s="182"/>
      <c r="E193" s="140"/>
      <c r="F193" s="140"/>
      <c r="G193" s="140"/>
      <c r="H193" s="140"/>
      <c r="I193" s="140"/>
      <c r="J193" s="140"/>
      <c r="K193" s="140"/>
      <c r="L193" s="140"/>
      <c r="M193" s="140"/>
      <c r="N193" s="140"/>
      <c r="O193" s="140"/>
      <c r="P193" s="140"/>
      <c r="Q193" s="140"/>
      <c r="R193" s="140"/>
      <c r="S193" s="140"/>
      <c r="T193" s="140"/>
      <c r="U193" s="140"/>
      <c r="V193" s="140"/>
      <c r="W193" s="140"/>
      <c r="X193" s="140"/>
      <c r="Y193" s="140"/>
    </row>
    <row r="194" spans="1:25">
      <c r="A194" s="158"/>
      <c r="B194" s="158" t="s">
        <v>254</v>
      </c>
      <c r="C194" s="182"/>
      <c r="D194" s="182"/>
      <c r="E194" s="140"/>
      <c r="F194" s="140"/>
      <c r="G194" s="140"/>
      <c r="H194" s="140"/>
      <c r="I194" s="140"/>
      <c r="J194" s="140"/>
      <c r="K194" s="140"/>
      <c r="L194" s="140"/>
      <c r="M194" s="140"/>
      <c r="N194" s="140"/>
      <c r="O194" s="140"/>
      <c r="P194" s="140"/>
      <c r="Q194" s="140"/>
      <c r="R194" s="140"/>
      <c r="S194" s="140"/>
      <c r="T194" s="140"/>
      <c r="U194" s="140"/>
      <c r="V194" s="140"/>
      <c r="W194" s="140"/>
      <c r="X194" s="140"/>
      <c r="Y194" s="140"/>
    </row>
    <row r="195" spans="1:25">
      <c r="A195" s="158"/>
      <c r="B195" s="158" t="s">
        <v>186</v>
      </c>
      <c r="C195" s="182">
        <f>ROUND(('1.4 Kenmerken'!C33*1000*'1.4 Kenmerken'!C158),-4)</f>
        <v>0</v>
      </c>
      <c r="D195" s="182"/>
      <c r="E195" s="140"/>
      <c r="F195" s="140"/>
      <c r="G195" s="140"/>
      <c r="H195" s="140"/>
      <c r="I195" s="140"/>
      <c r="J195" s="140"/>
      <c r="K195" s="140"/>
      <c r="L195" s="140"/>
      <c r="M195" s="140"/>
      <c r="N195" s="140"/>
      <c r="O195" s="140"/>
      <c r="P195" s="140"/>
      <c r="Q195" s="140"/>
      <c r="R195" s="140"/>
      <c r="S195" s="140"/>
      <c r="T195" s="140"/>
      <c r="U195" s="140"/>
      <c r="V195" s="140"/>
      <c r="W195" s="140"/>
      <c r="X195" s="140"/>
      <c r="Y195" s="140"/>
    </row>
    <row r="196" spans="1:25" s="7" customFormat="1">
      <c r="A196" s="158"/>
      <c r="B196" s="6" t="s">
        <v>255</v>
      </c>
      <c r="C196" s="74">
        <f t="shared" ref="C196" si="18">ROUND((C193+C195+C194),-5)</f>
        <v>700000</v>
      </c>
      <c r="D196" s="74"/>
    </row>
    <row r="197" spans="1:25" s="7" customFormat="1">
      <c r="A197" s="158"/>
      <c r="B197" s="6"/>
      <c r="C197" s="74"/>
      <c r="D197" s="74"/>
    </row>
    <row r="198" spans="1:25">
      <c r="A198" s="158"/>
      <c r="B198" s="195" t="s">
        <v>187</v>
      </c>
      <c r="C198" s="196"/>
      <c r="D198" s="141"/>
      <c r="E198" s="140"/>
      <c r="F198" s="140"/>
      <c r="G198" s="140"/>
      <c r="H198" s="140"/>
      <c r="I198" s="140"/>
      <c r="J198" s="140"/>
      <c r="K198" s="140"/>
      <c r="L198" s="140"/>
      <c r="M198" s="140"/>
      <c r="N198" s="140"/>
      <c r="O198" s="140"/>
      <c r="P198" s="140"/>
      <c r="Q198" s="140"/>
      <c r="R198" s="140"/>
      <c r="S198" s="140"/>
      <c r="T198" s="140"/>
      <c r="U198" s="140"/>
      <c r="V198" s="140"/>
      <c r="W198" s="140"/>
      <c r="X198" s="140"/>
      <c r="Y198" s="140"/>
    </row>
    <row r="199" spans="1:25">
      <c r="A199" s="158"/>
      <c r="B199" s="158" t="s">
        <v>256</v>
      </c>
      <c r="C199" s="197">
        <f>'1.4 Kenmerken'!C$47+'1.4 Kenmerken'!C$72</f>
        <v>21.769440000000003</v>
      </c>
      <c r="D199" s="197"/>
      <c r="E199" s="140"/>
      <c r="F199" s="140"/>
      <c r="G199" s="140"/>
      <c r="H199" s="140"/>
      <c r="I199" s="140"/>
      <c r="J199" s="140"/>
      <c r="K199" s="140"/>
      <c r="L199" s="140"/>
      <c r="M199" s="140"/>
      <c r="N199" s="140"/>
      <c r="O199" s="140"/>
      <c r="P199" s="140"/>
      <c r="Q199" s="140"/>
      <c r="R199" s="140"/>
      <c r="S199" s="140"/>
      <c r="T199" s="140"/>
      <c r="U199" s="140"/>
      <c r="V199" s="140"/>
      <c r="W199" s="140"/>
      <c r="X199" s="140"/>
      <c r="Y199" s="140"/>
    </row>
    <row r="200" spans="1:25" s="32" customFormat="1">
      <c r="A200" s="158"/>
      <c r="B200" s="28"/>
      <c r="C200" s="121">
        <f>C199/0.0000036</f>
        <v>6047066.6666666679</v>
      </c>
      <c r="D200" s="121"/>
    </row>
    <row r="201" spans="1:25" ht="15.75">
      <c r="A201" s="158"/>
      <c r="B201" s="198" t="s">
        <v>257</v>
      </c>
      <c r="C201" s="199">
        <f>ROUND(('1.4 Kenmerken'!$C$161*C200/1000),0)</f>
        <v>502511</v>
      </c>
      <c r="D201" s="199"/>
      <c r="E201" s="140"/>
      <c r="F201" s="140"/>
      <c r="G201" s="140"/>
      <c r="H201" s="140"/>
      <c r="I201" s="140"/>
      <c r="J201" s="140"/>
      <c r="K201" s="140"/>
      <c r="L201" s="140"/>
      <c r="M201" s="140"/>
      <c r="N201" s="140"/>
      <c r="O201" s="140"/>
      <c r="P201" s="140"/>
      <c r="Q201" s="140"/>
      <c r="R201" s="140"/>
      <c r="S201" s="140"/>
      <c r="T201" s="140"/>
      <c r="U201" s="140"/>
      <c r="V201" s="140"/>
      <c r="W201" s="140"/>
      <c r="X201" s="140"/>
      <c r="Y201" s="140"/>
    </row>
    <row r="202" spans="1:25">
      <c r="A202" s="158"/>
      <c r="B202" s="158" t="s">
        <v>258</v>
      </c>
      <c r="C202" s="197">
        <f>'1.4 Kenmerken'!C$104</f>
        <v>3.6287999999999982</v>
      </c>
      <c r="D202" s="197"/>
      <c r="E202" s="140"/>
      <c r="F202" s="140"/>
      <c r="G202" s="140"/>
      <c r="H202" s="140"/>
      <c r="I202" s="140"/>
      <c r="J202" s="140"/>
      <c r="K202" s="140"/>
      <c r="L202" s="140"/>
      <c r="M202" s="140"/>
      <c r="N202" s="140"/>
      <c r="O202" s="140"/>
      <c r="P202" s="140"/>
      <c r="Q202" s="140"/>
      <c r="R202" s="140"/>
      <c r="S202" s="140"/>
      <c r="T202" s="140"/>
      <c r="U202" s="140"/>
      <c r="V202" s="140"/>
      <c r="W202" s="140"/>
      <c r="X202" s="140"/>
      <c r="Y202" s="140"/>
    </row>
    <row r="203" spans="1:25" s="32" customFormat="1">
      <c r="A203" s="158"/>
      <c r="B203" s="28"/>
      <c r="C203" s="121">
        <f>C202/0.0000036</f>
        <v>1007999.9999999995</v>
      </c>
      <c r="D203" s="121"/>
    </row>
    <row r="204" spans="1:25" ht="15.75">
      <c r="A204" s="158"/>
      <c r="B204" s="198" t="s">
        <v>259</v>
      </c>
      <c r="C204" s="199">
        <f>ROUND((IF('1.4 Kenmerken'!C12="E-ketel",'1.4 Kenmerken'!$C$161,'1.4 Kenmerken'!$C$162)*C203/1000),-4)</f>
        <v>0</v>
      </c>
      <c r="D204" s="199"/>
      <c r="E204" s="140"/>
      <c r="F204" s="140"/>
      <c r="G204" s="140"/>
      <c r="H204" s="140"/>
      <c r="I204" s="140"/>
      <c r="J204" s="140"/>
      <c r="K204" s="140"/>
      <c r="L204" s="140"/>
      <c r="M204" s="140"/>
      <c r="N204" s="140"/>
      <c r="O204" s="140"/>
      <c r="P204" s="140"/>
      <c r="Q204" s="140"/>
      <c r="R204" s="140"/>
      <c r="S204" s="140"/>
      <c r="T204" s="140"/>
      <c r="U204" s="140"/>
      <c r="V204" s="140"/>
      <c r="W204" s="140"/>
      <c r="X204" s="140"/>
      <c r="Y204" s="140"/>
    </row>
    <row r="205" spans="1:25" s="7" customFormat="1">
      <c r="A205" s="158"/>
      <c r="B205" s="6" t="s">
        <v>255</v>
      </c>
      <c r="C205" s="122">
        <f>ROUND((C201+C204),0)</f>
        <v>502511</v>
      </c>
      <c r="D205" s="122"/>
    </row>
    <row r="206" spans="1:25" s="7" customFormat="1">
      <c r="A206" s="158"/>
      <c r="B206" s="6"/>
      <c r="C206" s="74"/>
      <c r="D206" s="74"/>
    </row>
    <row r="207" spans="1:25" s="7" customFormat="1">
      <c r="A207" s="158"/>
      <c r="B207" s="6"/>
      <c r="C207" s="74"/>
      <c r="D207" s="74"/>
    </row>
    <row r="208" spans="1:25" s="7" customFormat="1">
      <c r="A208" s="158"/>
      <c r="B208" s="6" t="s">
        <v>260</v>
      </c>
      <c r="C208" s="74">
        <f>C129+C135+C190*30 - C195 * 15</f>
        <v>34182706</v>
      </c>
      <c r="D208" s="74"/>
    </row>
    <row r="209" spans="1:25" s="7" customFormat="1">
      <c r="A209" s="158"/>
      <c r="B209" s="6" t="s">
        <v>261</v>
      </c>
      <c r="C209" s="128">
        <f>C208/30/('1.3 Energievraag - JBDK'!C15*1000)</f>
        <v>19.191519344957374</v>
      </c>
      <c r="D209" s="74"/>
    </row>
    <row r="210" spans="1:25" s="7" customFormat="1">
      <c r="A210" s="158"/>
      <c r="B210" s="6"/>
      <c r="C210" s="129"/>
      <c r="D210" s="123"/>
    </row>
    <row r="211" spans="1:25" s="7" customFormat="1">
      <c r="A211" s="158"/>
      <c r="B211" s="6" t="s">
        <v>187</v>
      </c>
      <c r="C211" s="122">
        <f>C205</f>
        <v>502511</v>
      </c>
      <c r="D211" s="122"/>
    </row>
    <row r="212" spans="1:25" s="7" customFormat="1">
      <c r="A212" s="158"/>
      <c r="B212" s="6" t="s">
        <v>262</v>
      </c>
      <c r="C212" s="122">
        <f>C211/('1.3 Energievraag - JBDK'!C14*1000)</f>
        <v>7.9763650793650793</v>
      </c>
      <c r="D212" s="122"/>
    </row>
    <row r="213" spans="1:25">
      <c r="A213" s="140"/>
      <c r="B213" s="6"/>
      <c r="C213" s="141"/>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row>
    <row r="214" spans="1:25">
      <c r="A214" s="140"/>
      <c r="B214" s="158"/>
      <c r="C214" s="141"/>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row>
    <row r="215" spans="1:25">
      <c r="A215" s="140"/>
      <c r="B215" s="158"/>
      <c r="C215" s="141"/>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row>
    <row r="216" spans="1:25">
      <c r="A216" s="140"/>
      <c r="B216" s="158"/>
      <c r="C216" s="141"/>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row>
    <row r="218" spans="1:25">
      <c r="A218" s="140"/>
      <c r="B218" s="158"/>
      <c r="C218" s="182">
        <f>C129+C135+C190*30  - C195 * 15</f>
        <v>34182706</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row>
    <row r="219" spans="1:25">
      <c r="A219" s="140"/>
      <c r="B219" s="158"/>
      <c r="C219" s="182">
        <f>C218/30/('1.3 Energievraag - JBDK'!C15*1000)</f>
        <v>19.191519344957374</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row>
  </sheetData>
  <sheetProtection formatCells="0"/>
  <pageMargins left="0.7" right="0.7" top="0.75" bottom="0.75" header="0.3" footer="0.3"/>
  <pageSetup paperSize="9" scale="58" orientation="portrait" r:id="rId1"/>
  <rowBreaks count="1" manualBreakCount="1">
    <brk id="123"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0697A95073704593E1BCE65B90875E" ma:contentTypeVersion="10" ma:contentTypeDescription="Een nieuw document maken." ma:contentTypeScope="" ma:versionID="ef5e49695e05f95c38bf57fdcc0b7ab9">
  <xsd:schema xmlns:xsd="http://www.w3.org/2001/XMLSchema" xmlns:xs="http://www.w3.org/2001/XMLSchema" xmlns:p="http://schemas.microsoft.com/office/2006/metadata/properties" xmlns:ns2="5813e7b8-576d-4f84-920e-28a4607fbd84" xmlns:ns3="ef653f31-ffa1-48e7-bd22-936b2c59e33e" targetNamespace="http://schemas.microsoft.com/office/2006/metadata/properties" ma:root="true" ma:fieldsID="44318fad5862dc1e3974134d8314f4d0" ns2:_="" ns3:_="">
    <xsd:import namespace="5813e7b8-576d-4f84-920e-28a4607fbd84"/>
    <xsd:import namespace="ef653f31-ffa1-48e7-bd22-936b2c59e3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e7b8-576d-4f84-920e-28a4607fbd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653f31-ffa1-48e7-bd22-936b2c59e33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94D121-1939-4881-907C-E254D2D06512}">
  <ds:schemaRefs>
    <ds:schemaRef ds:uri="http://schemas.microsoft.com/sharepoint/v3/contenttype/forms"/>
  </ds:schemaRefs>
</ds:datastoreItem>
</file>

<file path=customXml/itemProps2.xml><?xml version="1.0" encoding="utf-8"?>
<ds:datastoreItem xmlns:ds="http://schemas.openxmlformats.org/officeDocument/2006/customXml" ds:itemID="{60E901BF-5C7C-4BA1-AE4F-8700C0C51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e7b8-576d-4f84-920e-28a4607fbd84"/>
    <ds:schemaRef ds:uri="ef653f31-ffa1-48e7-bd22-936b2c59e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933E4B-D5A2-4329-BB4C-6151295CF69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1.0 Gebruiksaanwijzing</vt:lpstr>
      <vt:lpstr>1.1 Overzicht</vt:lpstr>
      <vt:lpstr>1.2 Varianten</vt:lpstr>
      <vt:lpstr>1.3 Energievraag - JBDK</vt:lpstr>
      <vt:lpstr>1.4 Kenmerken</vt:lpstr>
      <vt:lpstr>1.5 Kostenberekening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IF/TPA</dc:creator>
  <cp:keywords/>
  <dc:description/>
  <cp:lastModifiedBy>G.K. Wiltink</cp:lastModifiedBy>
  <cp:revision/>
  <cp:lastPrinted>2023-06-15T07:45:55Z</cp:lastPrinted>
  <dcterms:created xsi:type="dcterms:W3CDTF">2021-02-08T10:12:58Z</dcterms:created>
  <dcterms:modified xsi:type="dcterms:W3CDTF">2023-06-16T08:54:41Z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0x010100080697A95073704593E1BCE65B90875E</vt:lpwstr>
  </property>
</Properties>
</file>